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2270" windowHeight="8430" tabRatio="741" firstSheet="2" activeTab="2"/>
  </bookViews>
  <sheets>
    <sheet name="DataDumpAnnC" sheetId="1" state="hidden" r:id="rId1"/>
    <sheet name="Appendix A " sheetId="2" state="hidden" r:id="rId2"/>
    <sheet name="Appendix A" sheetId="3" r:id="rId3"/>
    <sheet name="Appendix A1 " sheetId="4" r:id="rId4"/>
    <sheet name="Appendix A3 " sheetId="5" state="hidden" r:id="rId5"/>
    <sheet name="Appendix B" sheetId="6" r:id="rId6"/>
    <sheet name="Appendix C" sheetId="7" r:id="rId7"/>
  </sheets>
  <definedNames>
    <definedName name="_xlnm.Print_Area" localSheetId="2">'Appendix A'!$A$1:$V$59</definedName>
    <definedName name="_xlnm.Print_Area" localSheetId="1">'Appendix A '!$A$1:$W$60</definedName>
    <definedName name="_xlnm.Print_Area" localSheetId="3">'Appendix A1 '!$A$1:$M$61</definedName>
    <definedName name="_xlnm.Print_Area" localSheetId="4">'Appendix A3 '!$A$1:$AB$28</definedName>
    <definedName name="_xlnm.Print_Area" localSheetId="5">'Appendix B'!$A$1:$F$53</definedName>
    <definedName name="_xlnm.Print_Area" localSheetId="6">'Appendix C'!$C$1:$Z$52</definedName>
    <definedName name="_xlnm.Print_Titles" localSheetId="6">'Appendix C'!$C:$C</definedName>
  </definedNames>
  <calcPr fullCalcOnLoad="1"/>
</workbook>
</file>

<file path=xl/sharedStrings.xml><?xml version="1.0" encoding="utf-8"?>
<sst xmlns="http://schemas.openxmlformats.org/spreadsheetml/2006/main" count="641" uniqueCount="367">
  <si>
    <t>£'000</t>
  </si>
  <si>
    <t>Income</t>
  </si>
  <si>
    <t>Total</t>
  </si>
  <si>
    <t>Pharmacy</t>
  </si>
  <si>
    <t>Medical Director</t>
  </si>
  <si>
    <t>Variance</t>
  </si>
  <si>
    <t>Medical Engineering Services</t>
  </si>
  <si>
    <t>LDP Gap</t>
  </si>
  <si>
    <t>Corporate Income</t>
  </si>
  <si>
    <t>Corporate Services</t>
  </si>
  <si>
    <t>WTE
Budget
Month</t>
  </si>
  <si>
    <t>WTE
Contracted
Month</t>
  </si>
  <si>
    <t>WTE
Worked
Month</t>
  </si>
  <si>
    <t>Pounds
Budget
Annual</t>
  </si>
  <si>
    <t>Pounds
Budget
Month</t>
  </si>
  <si>
    <t>Pounds
Actual
Month</t>
  </si>
  <si>
    <t>Pounds
Budget
Year to Date</t>
  </si>
  <si>
    <t>Pounds
Actual
Year to Date</t>
  </si>
  <si>
    <t>Pounds
Variance
Year to Date</t>
  </si>
  <si>
    <t xml:space="preserve"> Non Pay</t>
  </si>
  <si>
    <t xml:space="preserve"> Income</t>
  </si>
  <si>
    <t>Total Corporate Income</t>
  </si>
  <si>
    <t>Total  Corporate Income</t>
  </si>
  <si>
    <t>Division of Medicine</t>
  </si>
  <si>
    <t>Acute Medicine &amp; Allied Servic</t>
  </si>
  <si>
    <t xml:space="preserve"> Pay</t>
  </si>
  <si>
    <t>Total Acute Medicine &amp; Allied Servic</t>
  </si>
  <si>
    <t>Cardiology</t>
  </si>
  <si>
    <t>Total Cardiology</t>
  </si>
  <si>
    <t>Total Division of Medicine</t>
  </si>
  <si>
    <t>Emergency Care</t>
  </si>
  <si>
    <t>Total Emergency Care</t>
  </si>
  <si>
    <t>Med Older People &amp; Allied Serv</t>
  </si>
  <si>
    <t>Total Med Older People &amp; Allied Serv</t>
  </si>
  <si>
    <t>Medical Specialised Services</t>
  </si>
  <si>
    <t>Total Medical Specialised Services</t>
  </si>
  <si>
    <t>Other Medicine</t>
  </si>
  <si>
    <t>Total Other Medicine</t>
  </si>
  <si>
    <t>Total  Division of Medicine</t>
  </si>
  <si>
    <t>Division of Surgery</t>
  </si>
  <si>
    <t>Anaesthetics and Critical Care</t>
  </si>
  <si>
    <t>Total Anaesthetics and Critical Care</t>
  </si>
  <si>
    <t>Head and Neck Services</t>
  </si>
  <si>
    <t>Total Head and Neck Services</t>
  </si>
  <si>
    <t>Surgery Management</t>
  </si>
  <si>
    <t>Total Surgery Management</t>
  </si>
  <si>
    <t>Surgical Services</t>
  </si>
  <si>
    <t>Total Surgical Services</t>
  </si>
  <si>
    <t>Surgical Support Manager</t>
  </si>
  <si>
    <t>Total Surgical Support Manager</t>
  </si>
  <si>
    <t>Total  Division of Surgery</t>
  </si>
  <si>
    <t>Division of Women</t>
  </si>
  <si>
    <t>Total Division of Women</t>
  </si>
  <si>
    <t>Total  Division of Women</t>
  </si>
  <si>
    <t>Division of Paediatrics</t>
  </si>
  <si>
    <t>Total Division of Paediatrics</t>
  </si>
  <si>
    <t>Total  Division of Paediatrics</t>
  </si>
  <si>
    <t>Division of Radiology</t>
  </si>
  <si>
    <t>Total Division of Radiology</t>
  </si>
  <si>
    <t>Total  Division of Radiology</t>
  </si>
  <si>
    <t>Division of Pathology</t>
  </si>
  <si>
    <t>Total Division of Pathology</t>
  </si>
  <si>
    <t>Total  Division of Pathology</t>
  </si>
  <si>
    <t>Division of Chief Operating Of</t>
  </si>
  <si>
    <t>Estates</t>
  </si>
  <si>
    <t>Total Estates</t>
  </si>
  <si>
    <t>Facilities</t>
  </si>
  <si>
    <t>Total Facilities</t>
  </si>
  <si>
    <t>Head Of Nursing</t>
  </si>
  <si>
    <t>Total Head Of Nursing</t>
  </si>
  <si>
    <t>Total Medical Engineering Services</t>
  </si>
  <si>
    <t>Medical Records</t>
  </si>
  <si>
    <t>Total Medical Records</t>
  </si>
  <si>
    <t>Outpatients</t>
  </si>
  <si>
    <t>Total Outpatients</t>
  </si>
  <si>
    <t>Performance Management</t>
  </si>
  <si>
    <t>Total Performance Management</t>
  </si>
  <si>
    <t>Total Pharmacy</t>
  </si>
  <si>
    <t>Therapies</t>
  </si>
  <si>
    <t>Total Therapies</t>
  </si>
  <si>
    <t>Total  Division of Chief Operating Of</t>
  </si>
  <si>
    <t>Chairman and Chief Executive</t>
  </si>
  <si>
    <t>Total Chairman and Chief Executive</t>
  </si>
  <si>
    <t>Corporate Affairs</t>
  </si>
  <si>
    <t>Total Corporate Affairs</t>
  </si>
  <si>
    <t>Finance and Information Tech</t>
  </si>
  <si>
    <t>Total Finance and Information Tech</t>
  </si>
  <si>
    <t>Human Resources</t>
  </si>
  <si>
    <t>Total Human Resources</t>
  </si>
  <si>
    <t>Total Medical Director</t>
  </si>
  <si>
    <t>Total  Corporate Services</t>
  </si>
  <si>
    <t>TOTAL TRUST</t>
  </si>
  <si>
    <t>Report stored at J:\Finance\Crystal Reports - LIVE (read only)\Annex C - Sub Division.rpt</t>
  </si>
  <si>
    <t>Page -1 of 1</t>
  </si>
  <si>
    <t xml:space="preserve">Variance </t>
  </si>
  <si>
    <t>Budget</t>
  </si>
  <si>
    <t>Actual</t>
  </si>
  <si>
    <t>Directorate of Chief Operat Of</t>
  </si>
  <si>
    <t>Total Directorate of Chief Operat Of</t>
  </si>
  <si>
    <t>Report last modified on 16/08/2005.</t>
  </si>
  <si>
    <t>Forecast</t>
  </si>
  <si>
    <t>Reserves</t>
  </si>
  <si>
    <t>The Shrewsbury &amp; Telford Hospital NHS Trust</t>
  </si>
  <si>
    <t>Pay</t>
  </si>
  <si>
    <t>Nursing</t>
  </si>
  <si>
    <t>PAMS</t>
  </si>
  <si>
    <t>Scientific &amp; Professional</t>
  </si>
  <si>
    <t>Professional &amp; Technical</t>
  </si>
  <si>
    <t>Ancilliary</t>
  </si>
  <si>
    <t>Maintenance Staff</t>
  </si>
  <si>
    <t>Sub Total - Pay</t>
  </si>
  <si>
    <t>Non Pay</t>
  </si>
  <si>
    <t>Drugs</t>
  </si>
  <si>
    <t>Others</t>
  </si>
  <si>
    <t>Sub Total - Non Pay</t>
  </si>
  <si>
    <t>Total Expenditure</t>
  </si>
  <si>
    <t>EBITDA</t>
  </si>
  <si>
    <t>Depreciation</t>
  </si>
  <si>
    <t>PDC</t>
  </si>
  <si>
    <t>Interest Receivable</t>
  </si>
  <si>
    <t>APPENDIX A</t>
  </si>
  <si>
    <t>Change</t>
  </si>
  <si>
    <t>Estates &amp; Facilities</t>
  </si>
  <si>
    <t>Original
Budget</t>
  </si>
  <si>
    <t>Total  Income</t>
  </si>
  <si>
    <t>Clinical Supplies and Service</t>
  </si>
  <si>
    <t>General Supplies and Service</t>
  </si>
  <si>
    <t>Establishment Expenditure</t>
  </si>
  <si>
    <t>Interest Payable</t>
  </si>
  <si>
    <t>Plant &amp; Premises</t>
  </si>
  <si>
    <t>West Midlands NHS Bank</t>
  </si>
  <si>
    <t>Annual
Budget
 Approved</t>
  </si>
  <si>
    <t>Annual Budget Revised</t>
  </si>
  <si>
    <t>EOY Forecast</t>
  </si>
  <si>
    <t>Annual Budget</t>
  </si>
  <si>
    <t>Medical</t>
  </si>
  <si>
    <t>Surgical</t>
  </si>
  <si>
    <t>Womens</t>
  </si>
  <si>
    <t>Paediatrics</t>
  </si>
  <si>
    <t>Radiology</t>
  </si>
  <si>
    <t>Pathology</t>
  </si>
  <si>
    <t>Head of Nursing</t>
  </si>
  <si>
    <t>Corporate Depts</t>
  </si>
  <si>
    <t>Corporate Reserves</t>
  </si>
  <si>
    <t>PDC &amp; Depreciation</t>
  </si>
  <si>
    <t>£000</t>
  </si>
  <si>
    <t>Opening Balance</t>
  </si>
  <si>
    <t>APPENDIX B</t>
  </si>
  <si>
    <t>Explanation</t>
  </si>
  <si>
    <t>Total Assets Employed</t>
  </si>
  <si>
    <t>Provision for Bad Debts</t>
  </si>
  <si>
    <t>Finance Costs</t>
  </si>
  <si>
    <t xml:space="preserve"> Month</t>
  </si>
  <si>
    <t>Year to Date</t>
  </si>
  <si>
    <t>Annual
Budget</t>
  </si>
  <si>
    <t>Forecast
Outturn</t>
  </si>
  <si>
    <t xml:space="preserve"> Budget</t>
  </si>
  <si>
    <t xml:space="preserve"> Actual</t>
  </si>
  <si>
    <t>Month 
1</t>
  </si>
  <si>
    <t>Month 
2</t>
  </si>
  <si>
    <t>Month
 3</t>
  </si>
  <si>
    <t>Month 
4</t>
  </si>
  <si>
    <t>Month
 5</t>
  </si>
  <si>
    <t>Month
 6</t>
  </si>
  <si>
    <t>Month 
7</t>
  </si>
  <si>
    <t>Month 
8</t>
  </si>
  <si>
    <t>Month 
9</t>
  </si>
  <si>
    <t>Month 
10</t>
  </si>
  <si>
    <t>Month
11</t>
  </si>
  <si>
    <t>Total
YTD</t>
  </si>
  <si>
    <t>Monthly
Average 
Q4
2005/6</t>
  </si>
  <si>
    <t>Monthly Average BUDGET
 2006/07</t>
  </si>
  <si>
    <t>Monthly Average YTD
 2006/07</t>
  </si>
  <si>
    <t>Monthly Average  Q1
2006/07</t>
  </si>
  <si>
    <t>Run Rate</t>
  </si>
  <si>
    <t>Operational Run Rate</t>
  </si>
  <si>
    <t>APPENDIX A3</t>
  </si>
  <si>
    <t>Monthly Trend Analysis by Division 2006/07</t>
  </si>
  <si>
    <t>Division</t>
  </si>
  <si>
    <t>Month
 12</t>
  </si>
  <si>
    <t xml:space="preserve">Cost Improvement Plan </t>
  </si>
  <si>
    <t>Monthly Average  Q2
2006/07</t>
  </si>
  <si>
    <t xml:space="preserve">Other </t>
  </si>
  <si>
    <t>Unallocated</t>
  </si>
  <si>
    <t>Monthly Average  Q3
2006/07</t>
  </si>
  <si>
    <t>Admin &amp; Clerical</t>
  </si>
  <si>
    <t>Monthly Average  Q4
2006/07</t>
  </si>
  <si>
    <t>Actual Month 1 2006/7</t>
  </si>
  <si>
    <t>2006/7 Outturn</t>
  </si>
  <si>
    <t>Chairman &amp; Non Execs</t>
  </si>
  <si>
    <t>Exec Dir &amp; Senior Managers</t>
  </si>
  <si>
    <t>Consultants</t>
  </si>
  <si>
    <t>Medical Staff</t>
  </si>
  <si>
    <t>Agency</t>
  </si>
  <si>
    <t xml:space="preserve">Financial Position as at 30th April 2007 (Month 1 2007/08) </t>
  </si>
  <si>
    <t>Service Agreements</t>
  </si>
  <si>
    <t>Specialised Services</t>
  </si>
  <si>
    <t>Other Clinical Income</t>
  </si>
  <si>
    <t>Non Clinical Income</t>
  </si>
  <si>
    <t xml:space="preserve">Other Clinical </t>
  </si>
  <si>
    <t>Non Clinical</t>
  </si>
  <si>
    <t>LYear</t>
  </si>
  <si>
    <t>Plan</t>
  </si>
  <si>
    <t>Annual
Plan</t>
  </si>
  <si>
    <t>Current Assets</t>
  </si>
  <si>
    <t>Total Current Assets</t>
  </si>
  <si>
    <t>Current Liabilities</t>
  </si>
  <si>
    <t>Total Current Liabilities</t>
  </si>
  <si>
    <t>Total Assets less Current Liabilities</t>
  </si>
  <si>
    <t>Public dividend capital</t>
  </si>
  <si>
    <t>Revaluation reserve</t>
  </si>
  <si>
    <t>Donated asset reserve</t>
  </si>
  <si>
    <t>Appendix C</t>
  </si>
  <si>
    <t xml:space="preserve">CASHFLOW </t>
  </si>
  <si>
    <t>Total YTD</t>
  </si>
  <si>
    <t>Grand</t>
  </si>
  <si>
    <t xml:space="preserve">EBITDA </t>
  </si>
  <si>
    <t>Fixed Asset Impairments &amp; Reversals</t>
  </si>
  <si>
    <t>Sub - total</t>
  </si>
  <si>
    <t>Working Capital Movement</t>
  </si>
  <si>
    <t>Capex spend</t>
  </si>
  <si>
    <t>Cash receipt from asset sales</t>
  </si>
  <si>
    <t>Interest (paid) on loans and leases</t>
  </si>
  <si>
    <t>Loans received from DH</t>
  </si>
  <si>
    <t>Public Dividend Capital received</t>
  </si>
  <si>
    <t>Public Dividend Capital repaid</t>
  </si>
  <si>
    <t>Dividends paid</t>
  </si>
  <si>
    <t>Movement before interest received / (paid)</t>
  </si>
  <si>
    <t>Closing Balance</t>
  </si>
  <si>
    <t xml:space="preserve">Interest received </t>
  </si>
  <si>
    <t>Movement in working capital:</t>
  </si>
  <si>
    <t>Movement in Provisions</t>
  </si>
  <si>
    <t>Property, Plant and Equipment</t>
  </si>
  <si>
    <t>Non Current Assets</t>
  </si>
  <si>
    <t>Total Non Current Assets</t>
  </si>
  <si>
    <t>Inventories</t>
  </si>
  <si>
    <t>Net Current Assets/(Liabilities)</t>
  </si>
  <si>
    <t>Retained Earnings</t>
  </si>
  <si>
    <t>Transfers from Donated Asset Reserve</t>
  </si>
  <si>
    <t>Net cash inflow/outflow</t>
  </si>
  <si>
    <t>Prepayments and Accrued Income</t>
  </si>
  <si>
    <t>VAT</t>
  </si>
  <si>
    <t>Trade and Other Receivables</t>
  </si>
  <si>
    <t>Cash and Cash Equivalents</t>
  </si>
  <si>
    <t>Non -NHS Trade Payables - Revenue</t>
  </si>
  <si>
    <t>Non -NHS Trade Payables - Capital</t>
  </si>
  <si>
    <t>Tax and Social Security Costs</t>
  </si>
  <si>
    <t>Finance Lease</t>
  </si>
  <si>
    <t>Payments on Account</t>
  </si>
  <si>
    <t xml:space="preserve">        NHS Receivables - Revenue</t>
  </si>
  <si>
    <t xml:space="preserve">        Non- NHS Receivables - Revenue</t>
  </si>
  <si>
    <t xml:space="preserve">        Prepayments and Accrued Income</t>
  </si>
  <si>
    <t xml:space="preserve">        VAT</t>
  </si>
  <si>
    <t xml:space="preserve">        Trade and Other Receivables (Non Current)</t>
  </si>
  <si>
    <t xml:space="preserve">        NHS Payables - Revenue</t>
  </si>
  <si>
    <t xml:space="preserve">        Non -NHS Trade Payables - Revenue</t>
  </si>
  <si>
    <t xml:space="preserve">        Accruals and Deferred Income</t>
  </si>
  <si>
    <t xml:space="preserve">        Tax and Social Security Costs</t>
  </si>
  <si>
    <t xml:space="preserve">        Payments on Account</t>
  </si>
  <si>
    <t>Capital Creditors</t>
  </si>
  <si>
    <t>NHS Receivables - Invoiced Revenue</t>
  </si>
  <si>
    <t>NHS Receivables - Accrued Revenue</t>
  </si>
  <si>
    <t>Non- NHS Receivables - Invoiced Revenue</t>
  </si>
  <si>
    <t>Non- NHS Receivables - Accrued Revenue</t>
  </si>
  <si>
    <t xml:space="preserve">        Inventories</t>
  </si>
  <si>
    <t>Interest Receivable accrual</t>
  </si>
  <si>
    <t>PDC dividend Payable accrual</t>
  </si>
  <si>
    <t>Non-NHS Accruals and Deferred Income</t>
  </si>
  <si>
    <t>NHS Payables - Invoiced Revenue</t>
  </si>
  <si>
    <t>NHS Payables - Accrued Revenue</t>
  </si>
  <si>
    <t>Financed by Taxpayers' Equity</t>
  </si>
  <si>
    <t>Total Taxpayers' Equity</t>
  </si>
  <si>
    <t>Provisions</t>
  </si>
  <si>
    <t>Profit/Loss on Asset Disposal</t>
  </si>
  <si>
    <t>The Shrewsbury and Telford Hospital NHS Trust</t>
  </si>
  <si>
    <t>March 10</t>
  </si>
  <si>
    <t>Repayment of loans</t>
  </si>
  <si>
    <t>Repayment of leases</t>
  </si>
  <si>
    <t>Apr 10</t>
  </si>
  <si>
    <t>May 10</t>
  </si>
  <si>
    <t>June 10</t>
  </si>
  <si>
    <t>July 10</t>
  </si>
  <si>
    <t>Aug 10</t>
  </si>
  <si>
    <t>Sep 10</t>
  </si>
  <si>
    <t>Oct 10</t>
  </si>
  <si>
    <t>Nov 10</t>
  </si>
  <si>
    <t>Dec 10</t>
  </si>
  <si>
    <t>Jan 11</t>
  </si>
  <si>
    <t>Feb 11</t>
  </si>
  <si>
    <t>Mar 11</t>
  </si>
  <si>
    <t>APPENDIX A1</t>
  </si>
  <si>
    <t>Emergency threshold adjustment</t>
  </si>
  <si>
    <t xml:space="preserve">Month </t>
  </si>
  <si>
    <t>Annual</t>
  </si>
  <si>
    <t>Shropshire County PCT</t>
  </si>
  <si>
    <t>Telford &amp; Wrekin PCT</t>
  </si>
  <si>
    <t>South West Staffs PCT</t>
  </si>
  <si>
    <t>North Staffordshire</t>
  </si>
  <si>
    <t>Hereford</t>
  </si>
  <si>
    <t>Birmingham</t>
  </si>
  <si>
    <t>Wolverhampton City PCT</t>
  </si>
  <si>
    <t>South Worcestershire PCT</t>
  </si>
  <si>
    <t>Walsall Teaching PCT</t>
  </si>
  <si>
    <t>Dudley South, Beacon &amp; Castle PCT</t>
  </si>
  <si>
    <t>Cheshire &amp; Wirral</t>
  </si>
  <si>
    <t>Powys LHB</t>
  </si>
  <si>
    <t>North Wales</t>
  </si>
  <si>
    <t>Velindre</t>
  </si>
  <si>
    <t>Dept of Health Transition /mff</t>
  </si>
  <si>
    <t>Non Contracted Activity</t>
  </si>
  <si>
    <t>Income Overperformance</t>
  </si>
  <si>
    <t>Sub Total -Service Agreements</t>
  </si>
  <si>
    <t xml:space="preserve">Health Commission Wales </t>
  </si>
  <si>
    <t>Shropshire Renal Consortium</t>
  </si>
  <si>
    <t>NeoNatal</t>
  </si>
  <si>
    <t>Cardiac Catherterisation</t>
  </si>
  <si>
    <t>Sub Total -Specialised Services</t>
  </si>
  <si>
    <t>Private Patients</t>
  </si>
  <si>
    <t>Road Traffic Accidents</t>
  </si>
  <si>
    <t>Overseas Visitors</t>
  </si>
  <si>
    <t>DOH</t>
  </si>
  <si>
    <t>RTA Income</t>
  </si>
  <si>
    <t>Amenity Beds</t>
  </si>
  <si>
    <t>Prescription Charges</t>
  </si>
  <si>
    <t>Education &amp; Training</t>
  </si>
  <si>
    <t>Sub Total - Other Clinical Income</t>
  </si>
  <si>
    <t>DOH Discretionary Points</t>
  </si>
  <si>
    <t>Clinical Trials &amp; Research</t>
  </si>
  <si>
    <t>Total Clinical Income</t>
  </si>
  <si>
    <t>Staff &amp; Patient Services</t>
  </si>
  <si>
    <t>Recharges with the NHS</t>
  </si>
  <si>
    <t>Education</t>
  </si>
  <si>
    <t>Donated Asset Depn</t>
  </si>
  <si>
    <t>Sale of Services / Other</t>
  </si>
  <si>
    <t>Accommodation Rental</t>
  </si>
  <si>
    <t>Sale of Goods and Service NHS</t>
  </si>
  <si>
    <t>Sales of Goods &amp; Service Non NHS</t>
  </si>
  <si>
    <t>NHS Recharges</t>
  </si>
  <si>
    <t>Other Operating Income - Non NHS</t>
  </si>
  <si>
    <t>Total Non Clinical Income</t>
  </si>
  <si>
    <t>Total Income</t>
  </si>
  <si>
    <t>South Staffs PCT</t>
  </si>
  <si>
    <t>North Staffs PCT</t>
  </si>
  <si>
    <t>Stoke on Trent PCT</t>
  </si>
  <si>
    <t>Hereford PCT</t>
  </si>
  <si>
    <t>Birmingham PCTs</t>
  </si>
  <si>
    <t>Wolverhampton PCT</t>
  </si>
  <si>
    <t>Worcestershire PCT</t>
  </si>
  <si>
    <t>Walsall PCT</t>
  </si>
  <si>
    <t>Dudley PCT</t>
  </si>
  <si>
    <t>West Cheshire PCT</t>
  </si>
  <si>
    <t>Powys Teaching LHB</t>
  </si>
  <si>
    <t>Powys Provider</t>
  </si>
  <si>
    <t>Betsi Cadwaladr ULHB</t>
  </si>
  <si>
    <t>Dept of Health Transition</t>
  </si>
  <si>
    <t>Hywel Dda LHB</t>
  </si>
  <si>
    <t>RJAH</t>
  </si>
  <si>
    <t>Service Developments</t>
  </si>
  <si>
    <t>Capital expenditure transferred to revenue</t>
  </si>
  <si>
    <t xml:space="preserve">SHA Support </t>
  </si>
  <si>
    <t>Trading position</t>
  </si>
  <si>
    <t xml:space="preserve">Financial Position as at 31st March 2011 (Month 12 2010/11) </t>
  </si>
  <si>
    <t>Analysis of Income as at 31st March 2010 (Month 12 2010/11)</t>
  </si>
  <si>
    <t>Analysis of Balance Sheet Movements as at 31st March 2011 (Month 12 2010/11)</t>
  </si>
  <si>
    <t>February 11</t>
  </si>
  <si>
    <t>March 11</t>
  </si>
  <si>
    <t>Analysis of Cashflow Actual and Forecast as at 31st March 2011 (Month 12 2010/11)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</si>
</sst>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#,##0;[Red]\(#,##0\)"/>
    <numFmt numFmtId="167" formatCode="#,##0_);\(#,##0\)"/>
    <numFmt numFmtId="168" formatCode="0.0%"/>
    <numFmt numFmtId="169" formatCode="hh\:mm\:ss\ "/>
    <numFmt numFmtId="170" formatCode="#,##0;\(#,##0\)"/>
    <numFmt numFmtId="171" formatCode="0.0"/>
    <numFmt numFmtId="172" formatCode="#,##0.0;\(#,##0.0\)"/>
    <numFmt numFmtId="173" formatCode="#,##0.00;\(#,##0.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£&quot;#,##0.00"/>
    <numFmt numFmtId="179" formatCode="&quot;£&quot;#,##0_);\(&quot;£&quot;#,##0\)"/>
    <numFmt numFmtId="180" formatCode="&quot;£&quot;#,##0_);[Red]\(&quot;£&quot;#,##0\)"/>
    <numFmt numFmtId="181" formatCode="&quot;£&quot;#,##0.00_);\(&quot;£&quot;#,##0.00\)"/>
    <numFmt numFmtId="182" formatCode="&quot;£&quot;#,##0.00_);[Red]\(&quot;£&quot;#,##0.00\)"/>
    <numFmt numFmtId="183" formatCode="_(&quot;£&quot;* #,##0_);_(&quot;£&quot;* \(#,##0\);_(&quot;£&quot;* &quot;-&quot;_);_(@_)"/>
    <numFmt numFmtId="184" formatCode="_(* #,##0_);_(* \(#,##0\);_(* &quot;-&quot;_);_(@_)"/>
    <numFmt numFmtId="185" formatCode="_(&quot;£&quot;* #,##0.00_);_(&quot;£&quot;* \(#,##0.00\);_(&quot;£&quot;* &quot;-&quot;??_);_(@_)"/>
    <numFmt numFmtId="186" formatCode="_(* #,##0.00_);_(* \(#,##0.00\);_(* &quot;-&quot;??_);_(@_)"/>
    <numFmt numFmtId="187" formatCode="#,##0.00;[Red]\(#,##0.00\)"/>
    <numFmt numFmtId="188" formatCode="0_);\(0\)"/>
    <numFmt numFmtId="189" formatCode="0_);[Red]\(0\)"/>
    <numFmt numFmtId="190" formatCode="#,##0.0_);\(#,##0.0\)"/>
    <numFmt numFmtId="191" formatCode="#,##0.0;\-#,##0.0"/>
    <numFmt numFmtId="192" formatCode="#,##0.00_ ;[Red]\-#,##0.00\ "/>
    <numFmt numFmtId="193" formatCode="#,##0.0;[Red]\(#,##0.0\)"/>
    <numFmt numFmtId="194" formatCode="#,##0.0"/>
    <numFmt numFmtId="195" formatCode="0.000000000"/>
    <numFmt numFmtId="196" formatCode="0.00000000"/>
    <numFmt numFmtId="197" formatCode="#,##0.000"/>
    <numFmt numFmtId="198" formatCode="&quot;£&quot;#,##0.000"/>
    <numFmt numFmtId="199" formatCode="General_)"/>
    <numFmt numFmtId="200" formatCode="&quot;£&quot;#,##0.0000"/>
    <numFmt numFmtId="201" formatCode="#,##0;\(#,##0\);&quot;-&quot;"/>
    <numFmt numFmtId="202" formatCode="&quot;£&quot;#,##0"/>
    <numFmt numFmtId="203" formatCode="mm/dd/yy"/>
    <numFmt numFmtId="204" formatCode="0.000"/>
    <numFmt numFmtId="205" formatCode="#,##0_ ;\(#,##0\)"/>
    <numFmt numFmtId="206" formatCode="#,###"/>
    <numFmt numFmtId="207" formatCode="0.0%;\(0.0%\)"/>
    <numFmt numFmtId="208" formatCode="#,##0.000;\(#,##0.000\)"/>
    <numFmt numFmtId="209" formatCode="#,##0.0000;\(#,##0.0000\)"/>
    <numFmt numFmtId="210" formatCode="[$-809]dd\ mmmm\ yyyy"/>
    <numFmt numFmtId="211" formatCode="0.000000"/>
    <numFmt numFmtId="212" formatCode="0.00000"/>
    <numFmt numFmtId="213" formatCode="0.0000"/>
    <numFmt numFmtId="214" formatCode="0.000000000000000000000000000000"/>
  </numFmts>
  <fonts count="51">
    <font>
      <sz val="10"/>
      <name val="Arial"/>
      <family val="0"/>
    </font>
    <font>
      <sz val="14"/>
      <name val="Arial Narrow"/>
      <family val="2"/>
    </font>
    <font>
      <b/>
      <sz val="14"/>
      <name val="Arial Narrow"/>
      <family val="2"/>
    </font>
    <font>
      <sz val="10"/>
      <color indexed="8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sz val="18"/>
      <name val="Arial Narrow"/>
      <family val="2"/>
    </font>
    <font>
      <b/>
      <sz val="18"/>
      <name val="Arial Narrow"/>
      <family val="2"/>
    </font>
    <font>
      <sz val="18"/>
      <name val="Arial"/>
      <family val="0"/>
    </font>
    <font>
      <b/>
      <sz val="16"/>
      <color indexed="8"/>
      <name val="Arial Narrow"/>
      <family val="2"/>
    </font>
    <font>
      <b/>
      <sz val="16"/>
      <name val="Arial Narrow"/>
      <family val="2"/>
    </font>
    <font>
      <sz val="10"/>
      <name val="Arial Narrow"/>
      <family val="2"/>
    </font>
    <font>
      <b/>
      <u val="single"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u val="single"/>
      <sz val="11"/>
      <name val="Arial Narrow"/>
      <family val="2"/>
    </font>
    <font>
      <b/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i/>
      <sz val="12"/>
      <name val="Arial Narrow"/>
      <family val="2"/>
    </font>
    <font>
      <b/>
      <sz val="14"/>
      <name val="Arial"/>
      <family val="0"/>
    </font>
    <font>
      <sz val="14"/>
      <name val="Arial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0"/>
    </font>
    <font>
      <b/>
      <sz val="11"/>
      <color indexed="8"/>
      <name val="Arial Narrow"/>
      <family val="2"/>
    </font>
    <font>
      <b/>
      <u val="single"/>
      <sz val="16"/>
      <color indexed="8"/>
      <name val="Arial Narrow"/>
      <family val="2"/>
    </font>
    <font>
      <b/>
      <u val="single"/>
      <sz val="14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12"/>
      <name val="Arial Narrow"/>
      <family val="2"/>
    </font>
    <font>
      <sz val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9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3" fillId="0" borderId="0">
      <alignment vertical="top"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40" fontId="22" fillId="24" borderId="0">
      <alignment horizontal="right"/>
      <protection/>
    </xf>
    <xf numFmtId="0" fontId="37" fillId="24" borderId="0">
      <alignment horizontal="right"/>
      <protection/>
    </xf>
    <xf numFmtId="0" fontId="38" fillId="24" borderId="9">
      <alignment/>
      <protection/>
    </xf>
    <xf numFmtId="0" fontId="38" fillId="0" borderId="0" applyBorder="0">
      <alignment horizontal="centerContinuous"/>
      <protection/>
    </xf>
    <xf numFmtId="0" fontId="39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560">
    <xf numFmtId="0" fontId="0" fillId="0" borderId="0" xfId="0" applyAlignment="1">
      <alignment/>
    </xf>
    <xf numFmtId="0" fontId="3" fillId="0" borderId="0" xfId="57">
      <alignment vertical="top"/>
      <protection/>
    </xf>
    <xf numFmtId="167" fontId="3" fillId="0" borderId="0" xfId="57" applyNumberFormat="1" applyFont="1">
      <alignment vertical="top"/>
      <protection/>
    </xf>
    <xf numFmtId="167" fontId="3" fillId="0" borderId="0" xfId="57" applyNumberFormat="1">
      <alignment vertical="top"/>
      <protection/>
    </xf>
    <xf numFmtId="39" fontId="3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166" fontId="6" fillId="0" borderId="0" xfId="0" applyNumberFormat="1" applyFont="1" applyAlignment="1">
      <alignment/>
    </xf>
    <xf numFmtId="0" fontId="6" fillId="0" borderId="0" xfId="0" applyFont="1" applyAlignment="1">
      <alignment/>
    </xf>
    <xf numFmtId="166" fontId="1" fillId="0" borderId="0" xfId="0" applyNumberFormat="1" applyFont="1" applyAlignment="1">
      <alignment/>
    </xf>
    <xf numFmtId="166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166" fontId="2" fillId="0" borderId="12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170" fontId="4" fillId="0" borderId="0" xfId="42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0" fontId="5" fillId="0" borderId="13" xfId="42" applyNumberFormat="1" applyFont="1" applyBorder="1" applyAlignment="1">
      <alignment horizontal="center" wrapText="1"/>
    </xf>
    <xf numFmtId="170" fontId="4" fillId="0" borderId="15" xfId="0" applyNumberFormat="1" applyFont="1" applyBorder="1" applyAlignment="1">
      <alignment/>
    </xf>
    <xf numFmtId="170" fontId="4" fillId="0" borderId="15" xfId="42" applyNumberFormat="1" applyFont="1" applyBorder="1" applyAlignment="1">
      <alignment/>
    </xf>
    <xf numFmtId="170" fontId="5" fillId="0" borderId="16" xfId="42" applyNumberFormat="1" applyFont="1" applyBorder="1" applyAlignment="1">
      <alignment horizontal="center" wrapText="1"/>
    </xf>
    <xf numFmtId="170" fontId="5" fillId="0" borderId="15" xfId="42" applyNumberFormat="1" applyFont="1" applyBorder="1" applyAlignment="1">
      <alignment horizontal="center" wrapText="1"/>
    </xf>
    <xf numFmtId="170" fontId="5" fillId="0" borderId="17" xfId="42" applyNumberFormat="1" applyFont="1" applyBorder="1" applyAlignment="1">
      <alignment horizontal="center" wrapText="1"/>
    </xf>
    <xf numFmtId="170" fontId="5" fillId="0" borderId="18" xfId="42" applyNumberFormat="1" applyFont="1" applyBorder="1" applyAlignment="1">
      <alignment horizontal="center"/>
    </xf>
    <xf numFmtId="170" fontId="4" fillId="0" borderId="19" xfId="0" applyNumberFormat="1" applyFont="1" applyBorder="1" applyAlignment="1">
      <alignment/>
    </xf>
    <xf numFmtId="170" fontId="4" fillId="0" borderId="19" xfId="42" applyNumberFormat="1" applyFont="1" applyBorder="1" applyAlignment="1">
      <alignment/>
    </xf>
    <xf numFmtId="170" fontId="5" fillId="0" borderId="20" xfId="42" applyNumberFormat="1" applyFont="1" applyBorder="1" applyAlignment="1">
      <alignment horizontal="center"/>
    </xf>
    <xf numFmtId="170" fontId="5" fillId="0" borderId="19" xfId="42" applyNumberFormat="1" applyFont="1" applyBorder="1" applyAlignment="1">
      <alignment horizontal="center"/>
    </xf>
    <xf numFmtId="170" fontId="5" fillId="0" borderId="21" xfId="42" applyNumberFormat="1" applyFont="1" applyBorder="1" applyAlignment="1">
      <alignment horizontal="center"/>
    </xf>
    <xf numFmtId="170" fontId="4" fillId="0" borderId="14" xfId="42" applyNumberFormat="1" applyFont="1" applyBorder="1" applyAlignment="1">
      <alignment/>
    </xf>
    <xf numFmtId="170" fontId="4" fillId="0" borderId="22" xfId="42" applyNumberFormat="1" applyFont="1" applyBorder="1" applyAlignment="1">
      <alignment/>
    </xf>
    <xf numFmtId="170" fontId="4" fillId="0" borderId="23" xfId="42" applyNumberFormat="1" applyFont="1" applyBorder="1" applyAlignment="1">
      <alignment/>
    </xf>
    <xf numFmtId="170" fontId="5" fillId="0" borderId="24" xfId="42" applyNumberFormat="1" applyFont="1" applyBorder="1" applyAlignment="1">
      <alignment/>
    </xf>
    <xf numFmtId="170" fontId="5" fillId="0" borderId="25" xfId="0" applyNumberFormat="1" applyFont="1" applyBorder="1" applyAlignment="1">
      <alignment/>
    </xf>
    <xf numFmtId="170" fontId="5" fillId="0" borderId="25" xfId="42" applyNumberFormat="1" applyFont="1" applyBorder="1" applyAlignment="1">
      <alignment/>
    </xf>
    <xf numFmtId="170" fontId="5" fillId="0" borderId="26" xfId="42" applyNumberFormat="1" applyFont="1" applyBorder="1" applyAlignment="1">
      <alignment/>
    </xf>
    <xf numFmtId="170" fontId="5" fillId="0" borderId="27" xfId="42" applyNumberFormat="1" applyFont="1" applyBorder="1" applyAlignment="1">
      <alignment/>
    </xf>
    <xf numFmtId="170" fontId="4" fillId="0" borderId="0" xfId="0" applyNumberFormat="1" applyFont="1" applyAlignment="1">
      <alignment/>
    </xf>
    <xf numFmtId="170" fontId="4" fillId="0" borderId="0" xfId="42" applyNumberFormat="1" applyFont="1" applyAlignment="1">
      <alignment/>
    </xf>
    <xf numFmtId="170" fontId="5" fillId="0" borderId="13" xfId="42" applyNumberFormat="1" applyFont="1" applyBorder="1" applyAlignment="1">
      <alignment horizontal="center"/>
    </xf>
    <xf numFmtId="170" fontId="6" fillId="0" borderId="0" xfId="42" applyNumberFormat="1" applyFont="1" applyAlignment="1">
      <alignment/>
    </xf>
    <xf numFmtId="170" fontId="1" fillId="0" borderId="0" xfId="42" applyNumberFormat="1" applyFont="1" applyAlignment="1">
      <alignment/>
    </xf>
    <xf numFmtId="170" fontId="2" fillId="0" borderId="28" xfId="42" applyNumberFormat="1" applyFont="1" applyBorder="1" applyAlignment="1">
      <alignment horizontal="center" wrapText="1"/>
    </xf>
    <xf numFmtId="170" fontId="2" fillId="0" borderId="29" xfId="42" applyNumberFormat="1" applyFont="1" applyBorder="1" applyAlignment="1">
      <alignment horizontal="center"/>
    </xf>
    <xf numFmtId="170" fontId="1" fillId="0" borderId="30" xfId="42" applyNumberFormat="1" applyFont="1" applyBorder="1" applyAlignment="1">
      <alignment/>
    </xf>
    <xf numFmtId="170" fontId="2" fillId="0" borderId="11" xfId="42" applyNumberFormat="1" applyFont="1" applyBorder="1" applyAlignment="1">
      <alignment/>
    </xf>
    <xf numFmtId="170" fontId="2" fillId="0" borderId="30" xfId="42" applyNumberFormat="1" applyFont="1" applyBorder="1" applyAlignment="1">
      <alignment/>
    </xf>
    <xf numFmtId="170" fontId="7" fillId="0" borderId="0" xfId="42" applyNumberFormat="1" applyFont="1" applyAlignment="1">
      <alignment horizontal="center"/>
    </xf>
    <xf numFmtId="170" fontId="6" fillId="0" borderId="0" xfId="0" applyNumberFormat="1" applyFont="1" applyAlignment="1">
      <alignment/>
    </xf>
    <xf numFmtId="170" fontId="7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170" fontId="1" fillId="0" borderId="28" xfId="0" applyNumberFormat="1" applyFont="1" applyBorder="1" applyAlignment="1">
      <alignment/>
    </xf>
    <xf numFmtId="170" fontId="2" fillId="22" borderId="28" xfId="0" applyNumberFormat="1" applyFont="1" applyFill="1" applyBorder="1" applyAlignment="1">
      <alignment horizontal="center" wrapText="1"/>
    </xf>
    <xf numFmtId="170" fontId="2" fillId="0" borderId="28" xfId="0" applyNumberFormat="1" applyFont="1" applyFill="1" applyBorder="1" applyAlignment="1">
      <alignment horizontal="center" wrapText="1"/>
    </xf>
    <xf numFmtId="170" fontId="2" fillId="0" borderId="28" xfId="0" applyNumberFormat="1" applyFont="1" applyBorder="1" applyAlignment="1">
      <alignment horizontal="center" wrapText="1"/>
    </xf>
    <xf numFmtId="170" fontId="2" fillId="0" borderId="28" xfId="0" applyNumberFormat="1" applyFont="1" applyBorder="1" applyAlignment="1">
      <alignment horizontal="center"/>
    </xf>
    <xf numFmtId="170" fontId="2" fillId="22" borderId="29" xfId="0" applyNumberFormat="1" applyFont="1" applyFill="1" applyBorder="1" applyAlignment="1">
      <alignment horizontal="center"/>
    </xf>
    <xf numFmtId="170" fontId="2" fillId="0" borderId="29" xfId="0" applyNumberFormat="1" applyFont="1" applyFill="1" applyBorder="1" applyAlignment="1">
      <alignment horizontal="center"/>
    </xf>
    <xf numFmtId="170" fontId="2" fillId="0" borderId="29" xfId="42" applyNumberFormat="1" applyFont="1" applyFill="1" applyBorder="1" applyAlignment="1">
      <alignment horizontal="center"/>
    </xf>
    <xf numFmtId="170" fontId="2" fillId="0" borderId="29" xfId="0" applyNumberFormat="1" applyFont="1" applyBorder="1" applyAlignment="1">
      <alignment horizontal="center"/>
    </xf>
    <xf numFmtId="170" fontId="1" fillId="0" borderId="30" xfId="0" applyNumberFormat="1" applyFont="1" applyBorder="1" applyAlignment="1">
      <alignment/>
    </xf>
    <xf numFmtId="170" fontId="1" fillId="22" borderId="30" xfId="0" applyNumberFormat="1" applyFont="1" applyFill="1" applyBorder="1" applyAlignment="1">
      <alignment/>
    </xf>
    <xf numFmtId="170" fontId="2" fillId="0" borderId="30" xfId="0" applyNumberFormat="1" applyFont="1" applyBorder="1" applyAlignment="1">
      <alignment/>
    </xf>
    <xf numFmtId="170" fontId="1" fillId="22" borderId="30" xfId="42" applyNumberFormat="1" applyFont="1" applyFill="1" applyBorder="1" applyAlignment="1">
      <alignment/>
    </xf>
    <xf numFmtId="170" fontId="2" fillId="0" borderId="0" xfId="0" applyNumberFormat="1" applyFont="1" applyAlignment="1">
      <alignment/>
    </xf>
    <xf numFmtId="170" fontId="2" fillId="0" borderId="11" xfId="0" applyNumberFormat="1" applyFont="1" applyBorder="1" applyAlignment="1">
      <alignment/>
    </xf>
    <xf numFmtId="170" fontId="2" fillId="22" borderId="11" xfId="0" applyNumberFormat="1" applyFont="1" applyFill="1" applyBorder="1" applyAlignment="1">
      <alignment/>
    </xf>
    <xf numFmtId="170" fontId="1" fillId="0" borderId="11" xfId="0" applyNumberFormat="1" applyFont="1" applyBorder="1" applyAlignment="1">
      <alignment/>
    </xf>
    <xf numFmtId="170" fontId="2" fillId="0" borderId="31" xfId="0" applyNumberFormat="1" applyFont="1" applyBorder="1" applyAlignment="1">
      <alignment/>
    </xf>
    <xf numFmtId="170" fontId="2" fillId="22" borderId="11" xfId="42" applyNumberFormat="1" applyFont="1" applyFill="1" applyBorder="1" applyAlignment="1">
      <alignment/>
    </xf>
    <xf numFmtId="170" fontId="2" fillId="22" borderId="30" xfId="0" applyNumberFormat="1" applyFont="1" applyFill="1" applyBorder="1" applyAlignment="1">
      <alignment/>
    </xf>
    <xf numFmtId="170" fontId="2" fillId="0" borderId="11" xfId="0" applyNumberFormat="1" applyFont="1" applyFill="1" applyBorder="1" applyAlignment="1">
      <alignment/>
    </xf>
    <xf numFmtId="170" fontId="2" fillId="0" borderId="12" xfId="0" applyNumberFormat="1" applyFont="1" applyBorder="1" applyAlignment="1">
      <alignment/>
    </xf>
    <xf numFmtId="170" fontId="2" fillId="22" borderId="12" xfId="0" applyNumberFormat="1" applyFont="1" applyFill="1" applyBorder="1" applyAlignment="1">
      <alignment/>
    </xf>
    <xf numFmtId="170" fontId="5" fillId="0" borderId="0" xfId="42" applyNumberFormat="1" applyFont="1" applyAlignment="1">
      <alignment/>
    </xf>
    <xf numFmtId="0" fontId="4" fillId="0" borderId="0" xfId="0" applyFont="1" applyAlignment="1">
      <alignment vertical="top"/>
    </xf>
    <xf numFmtId="170" fontId="4" fillId="0" borderId="0" xfId="0" applyNumberFormat="1" applyFont="1" applyAlignment="1">
      <alignment vertical="top"/>
    </xf>
    <xf numFmtId="170" fontId="4" fillId="0" borderId="14" xfId="42" applyNumberFormat="1" applyFont="1" applyBorder="1" applyAlignment="1">
      <alignment vertical="top"/>
    </xf>
    <xf numFmtId="170" fontId="4" fillId="0" borderId="22" xfId="42" applyNumberFormat="1" applyFont="1" applyBorder="1" applyAlignment="1">
      <alignment vertical="top"/>
    </xf>
    <xf numFmtId="170" fontId="4" fillId="0" borderId="0" xfId="42" applyNumberFormat="1" applyFont="1" applyBorder="1" applyAlignment="1">
      <alignment vertical="top"/>
    </xf>
    <xf numFmtId="170" fontId="4" fillId="0" borderId="23" xfId="42" applyNumberFormat="1" applyFont="1" applyBorder="1" applyAlignment="1">
      <alignment vertical="top"/>
    </xf>
    <xf numFmtId="170" fontId="4" fillId="0" borderId="0" xfId="42" applyNumberFormat="1" applyFont="1" applyAlignment="1">
      <alignment vertical="top"/>
    </xf>
    <xf numFmtId="164" fontId="4" fillId="0" borderId="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5" fontId="4" fillId="0" borderId="0" xfId="42" applyNumberFormat="1" applyFont="1" applyBorder="1" applyAlignment="1">
      <alignment horizontal="center"/>
    </xf>
    <xf numFmtId="165" fontId="5" fillId="0" borderId="0" xfId="42" applyNumberFormat="1" applyFont="1" applyBorder="1" applyAlignment="1">
      <alignment vertical="top"/>
    </xf>
    <xf numFmtId="0" fontId="4" fillId="0" borderId="0" xfId="0" applyFont="1" applyBorder="1" applyAlignment="1">
      <alignment wrapText="1"/>
    </xf>
    <xf numFmtId="165" fontId="5" fillId="0" borderId="0" xfId="42" applyNumberFormat="1" applyFont="1" applyBorder="1" applyAlignment="1">
      <alignment/>
    </xf>
    <xf numFmtId="164" fontId="5" fillId="0" borderId="13" xfId="42" applyNumberFormat="1" applyFont="1" applyBorder="1" applyAlignment="1">
      <alignment horizontal="center" wrapText="1"/>
    </xf>
    <xf numFmtId="164" fontId="4" fillId="0" borderId="14" xfId="42" applyNumberFormat="1" applyFont="1" applyBorder="1" applyAlignment="1">
      <alignment/>
    </xf>
    <xf numFmtId="170" fontId="5" fillId="0" borderId="32" xfId="42" applyNumberFormat="1" applyFont="1" applyBorder="1" applyAlignment="1">
      <alignment/>
    </xf>
    <xf numFmtId="170" fontId="14" fillId="0" borderId="30" xfId="0" applyNumberFormat="1" applyFont="1" applyBorder="1" applyAlignment="1">
      <alignment/>
    </xf>
    <xf numFmtId="170" fontId="14" fillId="0" borderId="0" xfId="0" applyNumberFormat="1" applyFont="1" applyAlignment="1">
      <alignment/>
    </xf>
    <xf numFmtId="170" fontId="2" fillId="0" borderId="33" xfId="0" applyNumberFormat="1" applyFont="1" applyBorder="1" applyAlignment="1">
      <alignment/>
    </xf>
    <xf numFmtId="170" fontId="1" fillId="0" borderId="9" xfId="0" applyNumberFormat="1" applyFont="1" applyBorder="1" applyAlignment="1">
      <alignment/>
    </xf>
    <xf numFmtId="170" fontId="2" fillId="0" borderId="34" xfId="0" applyNumberFormat="1" applyFont="1" applyBorder="1" applyAlignment="1">
      <alignment/>
    </xf>
    <xf numFmtId="170" fontId="14" fillId="0" borderId="30" xfId="0" applyNumberFormat="1" applyFont="1" applyFill="1" applyBorder="1" applyAlignment="1">
      <alignment/>
    </xf>
    <xf numFmtId="170" fontId="14" fillId="0" borderId="0" xfId="0" applyNumberFormat="1" applyFont="1" applyFill="1" applyBorder="1" applyAlignment="1">
      <alignment/>
    </xf>
    <xf numFmtId="166" fontId="1" fillId="0" borderId="35" xfId="0" applyNumberFormat="1" applyFont="1" applyBorder="1" applyAlignment="1">
      <alignment/>
    </xf>
    <xf numFmtId="170" fontId="1" fillId="0" borderId="35" xfId="0" applyNumberFormat="1" applyFont="1" applyBorder="1" applyAlignment="1">
      <alignment/>
    </xf>
    <xf numFmtId="170" fontId="1" fillId="0" borderId="35" xfId="42" applyNumberFormat="1" applyFont="1" applyBorder="1" applyAlignment="1">
      <alignment/>
    </xf>
    <xf numFmtId="170" fontId="2" fillId="0" borderId="36" xfId="42" applyNumberFormat="1" applyFont="1" applyBorder="1" applyAlignment="1">
      <alignment horizontal="center" wrapText="1"/>
    </xf>
    <xf numFmtId="170" fontId="1" fillId="0" borderId="37" xfId="0" applyNumberFormat="1" applyFont="1" applyBorder="1" applyAlignment="1">
      <alignment/>
    </xf>
    <xf numFmtId="170" fontId="2" fillId="0" borderId="38" xfId="0" applyNumberFormat="1" applyFont="1" applyBorder="1" applyAlignment="1">
      <alignment horizontal="center" wrapText="1"/>
    </xf>
    <xf numFmtId="170" fontId="1" fillId="0" borderId="0" xfId="0" applyNumberFormat="1" applyFont="1" applyBorder="1" applyAlignment="1">
      <alignment/>
    </xf>
    <xf numFmtId="170" fontId="2" fillId="0" borderId="39" xfId="42" applyNumberFormat="1" applyFont="1" applyBorder="1" applyAlignment="1">
      <alignment horizontal="center"/>
    </xf>
    <xf numFmtId="170" fontId="1" fillId="0" borderId="40" xfId="0" applyNumberFormat="1" applyFont="1" applyBorder="1" applyAlignment="1">
      <alignment/>
    </xf>
    <xf numFmtId="170" fontId="2" fillId="0" borderId="41" xfId="0" applyNumberFormat="1" applyFont="1" applyBorder="1" applyAlignment="1">
      <alignment horizontal="center"/>
    </xf>
    <xf numFmtId="170" fontId="1" fillId="0" borderId="36" xfId="42" applyNumberFormat="1" applyFont="1" applyBorder="1" applyAlignment="1">
      <alignment/>
    </xf>
    <xf numFmtId="170" fontId="1" fillId="0" borderId="28" xfId="42" applyNumberFormat="1" applyFont="1" applyBorder="1" applyAlignment="1">
      <alignment/>
    </xf>
    <xf numFmtId="170" fontId="1" fillId="22" borderId="28" xfId="0" applyNumberFormat="1" applyFont="1" applyFill="1" applyBorder="1" applyAlignment="1">
      <alignment/>
    </xf>
    <xf numFmtId="170" fontId="1" fillId="0" borderId="38" xfId="0" applyNumberFormat="1" applyFont="1" applyBorder="1" applyAlignment="1">
      <alignment/>
    </xf>
    <xf numFmtId="170" fontId="1" fillId="0" borderId="42" xfId="42" applyNumberFormat="1" applyFont="1" applyBorder="1" applyAlignment="1">
      <alignment/>
    </xf>
    <xf numFmtId="170" fontId="1" fillId="0" borderId="43" xfId="0" applyNumberFormat="1" applyFont="1" applyBorder="1" applyAlignment="1">
      <alignment/>
    </xf>
    <xf numFmtId="170" fontId="2" fillId="0" borderId="44" xfId="42" applyNumberFormat="1" applyFont="1" applyBorder="1" applyAlignment="1">
      <alignment/>
    </xf>
    <xf numFmtId="170" fontId="2" fillId="0" borderId="45" xfId="0" applyNumberFormat="1" applyFont="1" applyBorder="1" applyAlignment="1">
      <alignment/>
    </xf>
    <xf numFmtId="170" fontId="2" fillId="0" borderId="42" xfId="42" applyNumberFormat="1" applyFont="1" applyBorder="1" applyAlignment="1">
      <alignment/>
    </xf>
    <xf numFmtId="170" fontId="2" fillId="0" borderId="43" xfId="0" applyNumberFormat="1" applyFont="1" applyBorder="1" applyAlignment="1">
      <alignment/>
    </xf>
    <xf numFmtId="166" fontId="2" fillId="0" borderId="44" xfId="0" applyNumberFormat="1" applyFont="1" applyBorder="1" applyAlignment="1">
      <alignment/>
    </xf>
    <xf numFmtId="166" fontId="2" fillId="0" borderId="46" xfId="0" applyNumberFormat="1" applyFont="1" applyBorder="1" applyAlignment="1">
      <alignment/>
    </xf>
    <xf numFmtId="170" fontId="2" fillId="0" borderId="47" xfId="0" applyNumberFormat="1" applyFont="1" applyBorder="1" applyAlignment="1">
      <alignment/>
    </xf>
    <xf numFmtId="170" fontId="2" fillId="0" borderId="42" xfId="42" applyNumberFormat="1" applyFont="1" applyFill="1" applyBorder="1" applyAlignment="1">
      <alignment horizontal="center"/>
    </xf>
    <xf numFmtId="170" fontId="2" fillId="0" borderId="48" xfId="42" applyNumberFormat="1" applyFont="1" applyFill="1" applyBorder="1" applyAlignment="1">
      <alignment horizontal="center"/>
    </xf>
    <xf numFmtId="170" fontId="1" fillId="0" borderId="49" xfId="42" applyNumberFormat="1" applyFont="1" applyBorder="1" applyAlignment="1">
      <alignment/>
    </xf>
    <xf numFmtId="170" fontId="1" fillId="0" borderId="49" xfId="0" applyNumberFormat="1" applyFont="1" applyBorder="1" applyAlignment="1">
      <alignment/>
    </xf>
    <xf numFmtId="170" fontId="1" fillId="0" borderId="48" xfId="42" applyNumberFormat="1" applyFont="1" applyBorder="1" applyAlignment="1">
      <alignment/>
    </xf>
    <xf numFmtId="170" fontId="1" fillId="0" borderId="48" xfId="0" applyNumberFormat="1" applyFont="1" applyBorder="1" applyAlignment="1">
      <alignment/>
    </xf>
    <xf numFmtId="170" fontId="2" fillId="0" borderId="48" xfId="0" applyNumberFormat="1" applyFont="1" applyBorder="1" applyAlignment="1">
      <alignment/>
    </xf>
    <xf numFmtId="170" fontId="2" fillId="0" borderId="50" xfId="0" applyNumberFormat="1" applyFont="1" applyBorder="1" applyAlignment="1">
      <alignment/>
    </xf>
    <xf numFmtId="170" fontId="2" fillId="0" borderId="50" xfId="42" applyNumberFormat="1" applyFont="1" applyBorder="1" applyAlignment="1">
      <alignment/>
    </xf>
    <xf numFmtId="170" fontId="2" fillId="0" borderId="48" xfId="42" applyNumberFormat="1" applyFont="1" applyBorder="1" applyAlignment="1">
      <alignment/>
    </xf>
    <xf numFmtId="170" fontId="2" fillId="0" borderId="50" xfId="0" applyNumberFormat="1" applyFont="1" applyFill="1" applyBorder="1" applyAlignment="1">
      <alignment/>
    </xf>
    <xf numFmtId="170" fontId="2" fillId="0" borderId="51" xfId="0" applyNumberFormat="1" applyFont="1" applyBorder="1" applyAlignment="1">
      <alignment/>
    </xf>
    <xf numFmtId="170" fontId="1" fillId="0" borderId="52" xfId="0" applyNumberFormat="1" applyFont="1" applyBorder="1" applyAlignment="1">
      <alignment/>
    </xf>
    <xf numFmtId="170" fontId="2" fillId="0" borderId="38" xfId="42" applyNumberFormat="1" applyFont="1" applyBorder="1" applyAlignment="1">
      <alignment horizontal="center"/>
    </xf>
    <xf numFmtId="170" fontId="2" fillId="0" borderId="41" xfId="42" applyNumberFormat="1" applyFont="1" applyBorder="1" applyAlignment="1">
      <alignment horizontal="center"/>
    </xf>
    <xf numFmtId="170" fontId="1" fillId="0" borderId="43" xfId="42" applyNumberFormat="1" applyFont="1" applyBorder="1" applyAlignment="1">
      <alignment/>
    </xf>
    <xf numFmtId="170" fontId="2" fillId="0" borderId="45" xfId="42" applyNumberFormat="1" applyFont="1" applyBorder="1" applyAlignment="1">
      <alignment/>
    </xf>
    <xf numFmtId="170" fontId="1" fillId="0" borderId="53" xfId="0" applyNumberFormat="1" applyFont="1" applyBorder="1" applyAlignment="1">
      <alignment/>
    </xf>
    <xf numFmtId="170" fontId="1" fillId="0" borderId="54" xfId="0" applyNumberFormat="1" applyFont="1" applyBorder="1" applyAlignment="1">
      <alignment/>
    </xf>
    <xf numFmtId="170" fontId="5" fillId="0" borderId="13" xfId="42" applyNumberFormat="1" applyFont="1" applyFill="1" applyBorder="1" applyAlignment="1">
      <alignment horizontal="center" wrapText="1"/>
    </xf>
    <xf numFmtId="164" fontId="5" fillId="0" borderId="17" xfId="42" applyNumberFormat="1" applyFont="1" applyBorder="1" applyAlignment="1">
      <alignment horizontal="center" wrapText="1"/>
    </xf>
    <xf numFmtId="170" fontId="5" fillId="0" borderId="18" xfId="42" applyNumberFormat="1" applyFont="1" applyFill="1" applyBorder="1" applyAlignment="1">
      <alignment horizontal="center"/>
    </xf>
    <xf numFmtId="170" fontId="4" fillId="0" borderId="14" xfId="0" applyNumberFormat="1" applyFont="1" applyBorder="1" applyAlignment="1">
      <alignment vertical="top"/>
    </xf>
    <xf numFmtId="0" fontId="5" fillId="0" borderId="26" xfId="0" applyFont="1" applyBorder="1" applyAlignment="1">
      <alignment/>
    </xf>
    <xf numFmtId="0" fontId="7" fillId="0" borderId="0" xfId="0" applyFont="1" applyAlignment="1">
      <alignment/>
    </xf>
    <xf numFmtId="170" fontId="5" fillId="0" borderId="0" xfId="0" applyNumberFormat="1" applyFont="1" applyAlignment="1">
      <alignment/>
    </xf>
    <xf numFmtId="164" fontId="5" fillId="0" borderId="0" xfId="42" applyNumberFormat="1" applyFont="1" applyBorder="1" applyAlignment="1">
      <alignment/>
    </xf>
    <xf numFmtId="170" fontId="19" fillId="0" borderId="19" xfId="42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2" xfId="0" applyFont="1" applyBorder="1" applyAlignment="1">
      <alignment/>
    </xf>
    <xf numFmtId="170" fontId="4" fillId="0" borderId="14" xfId="42" applyNumberFormat="1" applyFont="1" applyFill="1" applyBorder="1" applyAlignment="1">
      <alignment horizontal="center"/>
    </xf>
    <xf numFmtId="164" fontId="4" fillId="0" borderId="17" xfId="42" applyNumberFormat="1" applyFont="1" applyBorder="1" applyAlignment="1">
      <alignment/>
    </xf>
    <xf numFmtId="0" fontId="4" fillId="0" borderId="22" xfId="0" applyFont="1" applyBorder="1" applyAlignment="1">
      <alignment vertical="top"/>
    </xf>
    <xf numFmtId="170" fontId="4" fillId="0" borderId="14" xfId="42" applyNumberFormat="1" applyFont="1" applyFill="1" applyBorder="1" applyAlignment="1">
      <alignment horizontal="right" vertical="top"/>
    </xf>
    <xf numFmtId="170" fontId="4" fillId="0" borderId="14" xfId="42" applyNumberFormat="1" applyFont="1" applyFill="1" applyBorder="1" applyAlignment="1">
      <alignment horizontal="right"/>
    </xf>
    <xf numFmtId="164" fontId="4" fillId="0" borderId="23" xfId="42" applyNumberFormat="1" applyFont="1" applyBorder="1" applyAlignment="1">
      <alignment vertical="top"/>
    </xf>
    <xf numFmtId="164" fontId="4" fillId="0" borderId="23" xfId="42" applyNumberFormat="1" applyFont="1" applyBorder="1" applyAlignment="1">
      <alignment/>
    </xf>
    <xf numFmtId="170" fontId="5" fillId="0" borderId="24" xfId="42" applyNumberFormat="1" applyFont="1" applyFill="1" applyBorder="1" applyAlignment="1">
      <alignment horizontal="right"/>
    </xf>
    <xf numFmtId="170" fontId="5" fillId="0" borderId="24" xfId="42" applyNumberFormat="1" applyFont="1" applyBorder="1" applyAlignment="1">
      <alignment vertical="top"/>
    </xf>
    <xf numFmtId="0" fontId="4" fillId="0" borderId="0" xfId="0" applyFont="1" applyFill="1" applyBorder="1" applyAlignment="1">
      <alignment/>
    </xf>
    <xf numFmtId="170" fontId="1" fillId="0" borderId="55" xfId="42" applyNumberFormat="1" applyFont="1" applyBorder="1" applyAlignment="1">
      <alignment/>
    </xf>
    <xf numFmtId="170" fontId="2" fillId="0" borderId="9" xfId="0" applyNumberFormat="1" applyFont="1" applyBorder="1" applyAlignment="1">
      <alignment/>
    </xf>
    <xf numFmtId="170" fontId="1" fillId="0" borderId="42" xfId="0" applyNumberFormat="1" applyFont="1" applyBorder="1" applyAlignment="1">
      <alignment/>
    </xf>
    <xf numFmtId="166" fontId="2" fillId="0" borderId="56" xfId="0" applyNumberFormat="1" applyFont="1" applyBorder="1" applyAlignment="1">
      <alignment horizontal="center" wrapText="1"/>
    </xf>
    <xf numFmtId="166" fontId="2" fillId="0" borderId="57" xfId="0" applyNumberFormat="1" applyFont="1" applyBorder="1" applyAlignment="1">
      <alignment horizontal="center"/>
    </xf>
    <xf numFmtId="166" fontId="2" fillId="0" borderId="56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/>
    </xf>
    <xf numFmtId="166" fontId="2" fillId="0" borderId="31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32" xfId="0" applyNumberFormat="1" applyFont="1" applyBorder="1" applyAlignment="1">
      <alignment/>
    </xf>
    <xf numFmtId="170" fontId="2" fillId="0" borderId="38" xfId="42" applyNumberFormat="1" applyFont="1" applyBorder="1" applyAlignment="1">
      <alignment horizontal="center" wrapText="1"/>
    </xf>
    <xf numFmtId="170" fontId="1" fillId="0" borderId="42" xfId="42" applyNumberFormat="1" applyFont="1" applyBorder="1" applyAlignment="1">
      <alignment vertical="top"/>
    </xf>
    <xf numFmtId="170" fontId="2" fillId="0" borderId="43" xfId="42" applyNumberFormat="1" applyFont="1" applyBorder="1" applyAlignment="1">
      <alignment/>
    </xf>
    <xf numFmtId="166" fontId="2" fillId="0" borderId="47" xfId="0" applyNumberFormat="1" applyFont="1" applyBorder="1" applyAlignment="1">
      <alignment/>
    </xf>
    <xf numFmtId="170" fontId="2" fillId="0" borderId="58" xfId="0" applyNumberFormat="1" applyFont="1" applyBorder="1" applyAlignment="1">
      <alignment horizontal="center"/>
    </xf>
    <xf numFmtId="170" fontId="2" fillId="0" borderId="59" xfId="0" applyNumberFormat="1" applyFont="1" applyBorder="1" applyAlignment="1">
      <alignment horizontal="center"/>
    </xf>
    <xf numFmtId="170" fontId="1" fillId="0" borderId="58" xfId="0" applyNumberFormat="1" applyFont="1" applyBorder="1" applyAlignment="1">
      <alignment/>
    </xf>
    <xf numFmtId="170" fontId="1" fillId="0" borderId="55" xfId="0" applyNumberFormat="1" applyFont="1" applyBorder="1" applyAlignment="1">
      <alignment/>
    </xf>
    <xf numFmtId="170" fontId="1" fillId="0" borderId="60" xfId="0" applyNumberFormat="1" applyFont="1" applyBorder="1" applyAlignment="1">
      <alignment/>
    </xf>
    <xf numFmtId="170" fontId="2" fillId="0" borderId="60" xfId="0" applyNumberFormat="1" applyFont="1" applyBorder="1" applyAlignment="1">
      <alignment/>
    </xf>
    <xf numFmtId="170" fontId="2" fillId="0" borderId="55" xfId="0" applyNumberFormat="1" applyFont="1" applyBorder="1" applyAlignment="1">
      <alignment/>
    </xf>
    <xf numFmtId="170" fontId="2" fillId="0" borderId="61" xfId="0" applyNumberFormat="1" applyFont="1" applyBorder="1" applyAlignment="1">
      <alignment/>
    </xf>
    <xf numFmtId="170" fontId="2" fillId="0" borderId="39" xfId="0" applyNumberFormat="1" applyFont="1" applyBorder="1" applyAlignment="1">
      <alignment horizontal="center"/>
    </xf>
    <xf numFmtId="170" fontId="1" fillId="0" borderId="36" xfId="0" applyNumberFormat="1" applyFont="1" applyBorder="1" applyAlignment="1">
      <alignment/>
    </xf>
    <xf numFmtId="170" fontId="2" fillId="0" borderId="44" xfId="0" applyNumberFormat="1" applyFont="1" applyBorder="1" applyAlignment="1">
      <alignment/>
    </xf>
    <xf numFmtId="170" fontId="2" fillId="0" borderId="42" xfId="0" applyNumberFormat="1" applyFont="1" applyBorder="1" applyAlignment="1">
      <alignment/>
    </xf>
    <xf numFmtId="170" fontId="2" fillId="0" borderId="46" xfId="0" applyNumberFormat="1" applyFont="1" applyBorder="1" applyAlignment="1">
      <alignment/>
    </xf>
    <xf numFmtId="0" fontId="1" fillId="0" borderId="0" xfId="0" applyFont="1" applyFill="1" applyAlignment="1">
      <alignment/>
    </xf>
    <xf numFmtId="170" fontId="2" fillId="0" borderId="58" xfId="42" applyNumberFormat="1" applyFont="1" applyBorder="1" applyAlignment="1">
      <alignment horizontal="center" wrapText="1"/>
    </xf>
    <xf numFmtId="170" fontId="2" fillId="0" borderId="59" xfId="42" applyNumberFormat="1" applyFont="1" applyBorder="1" applyAlignment="1">
      <alignment horizontal="center"/>
    </xf>
    <xf numFmtId="170" fontId="1" fillId="0" borderId="58" xfId="42" applyNumberFormat="1" applyFont="1" applyBorder="1" applyAlignment="1">
      <alignment/>
    </xf>
    <xf numFmtId="170" fontId="2" fillId="0" borderId="55" xfId="42" applyNumberFormat="1" applyFont="1" applyBorder="1" applyAlignment="1">
      <alignment/>
    </xf>
    <xf numFmtId="170" fontId="2" fillId="0" borderId="36" xfId="0" applyNumberFormat="1" applyFont="1" applyBorder="1" applyAlignment="1" quotePrefix="1">
      <alignment horizontal="center" wrapText="1"/>
    </xf>
    <xf numFmtId="170" fontId="1" fillId="0" borderId="62" xfId="42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70" fontId="2" fillId="0" borderId="32" xfId="0" applyNumberFormat="1" applyFont="1" applyBorder="1" applyAlignment="1">
      <alignment/>
    </xf>
    <xf numFmtId="170" fontId="1" fillId="0" borderId="55" xfId="42" applyNumberFormat="1" applyFont="1" applyFill="1" applyBorder="1" applyAlignment="1">
      <alignment/>
    </xf>
    <xf numFmtId="170" fontId="1" fillId="0" borderId="56" xfId="0" applyNumberFormat="1" applyFont="1" applyBorder="1" applyAlignment="1">
      <alignment/>
    </xf>
    <xf numFmtId="170" fontId="1" fillId="0" borderId="29" xfId="0" applyNumberFormat="1" applyFont="1" applyBorder="1" applyAlignment="1">
      <alignment/>
    </xf>
    <xf numFmtId="170" fontId="1" fillId="0" borderId="30" xfId="0" applyNumberFormat="1" applyFont="1" applyFill="1" applyBorder="1" applyAlignment="1">
      <alignment/>
    </xf>
    <xf numFmtId="170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70" fontId="2" fillId="0" borderId="0" xfId="0" applyNumberFormat="1" applyFont="1" applyAlignment="1">
      <alignment horizontal="center"/>
    </xf>
    <xf numFmtId="170" fontId="2" fillId="0" borderId="0" xfId="42" applyNumberFormat="1" applyFont="1" applyAlignment="1">
      <alignment horizontal="center"/>
    </xf>
    <xf numFmtId="170" fontId="2" fillId="0" borderId="0" xfId="0" applyNumberFormat="1" applyFont="1" applyFill="1" applyAlignment="1">
      <alignment horizontal="center"/>
    </xf>
    <xf numFmtId="170" fontId="1" fillId="0" borderId="0" xfId="0" applyNumberFormat="1" applyFont="1" applyFill="1" applyAlignment="1">
      <alignment/>
    </xf>
    <xf numFmtId="170" fontId="1" fillId="0" borderId="29" xfId="0" applyNumberFormat="1" applyFont="1" applyFill="1" applyBorder="1" applyAlignment="1">
      <alignment/>
    </xf>
    <xf numFmtId="170" fontId="1" fillId="0" borderId="63" xfId="0" applyNumberFormat="1" applyFont="1" applyBorder="1" applyAlignment="1">
      <alignment/>
    </xf>
    <xf numFmtId="170" fontId="1" fillId="0" borderId="64" xfId="0" applyNumberFormat="1" applyFont="1" applyBorder="1" applyAlignment="1">
      <alignment/>
    </xf>
    <xf numFmtId="170" fontId="2" fillId="0" borderId="65" xfId="0" applyNumberFormat="1" applyFont="1" applyBorder="1" applyAlignment="1">
      <alignment/>
    </xf>
    <xf numFmtId="170" fontId="1" fillId="0" borderId="66" xfId="0" applyNumberFormat="1" applyFont="1" applyBorder="1" applyAlignment="1">
      <alignment/>
    </xf>
    <xf numFmtId="170" fontId="1" fillId="0" borderId="29" xfId="42" applyNumberFormat="1" applyFont="1" applyBorder="1" applyAlignment="1">
      <alignment/>
    </xf>
    <xf numFmtId="170" fontId="1" fillId="0" borderId="48" xfId="0" applyNumberFormat="1" applyFont="1" applyFill="1" applyBorder="1" applyAlignment="1">
      <alignment/>
    </xf>
    <xf numFmtId="170" fontId="2" fillId="0" borderId="44" xfId="42" applyNumberFormat="1" applyFont="1" applyFill="1" applyBorder="1" applyAlignment="1">
      <alignment/>
    </xf>
    <xf numFmtId="170" fontId="1" fillId="0" borderId="48" xfId="42" applyNumberFormat="1" applyFont="1" applyFill="1" applyBorder="1" applyAlignment="1">
      <alignment/>
    </xf>
    <xf numFmtId="170" fontId="2" fillId="0" borderId="11" xfId="42" applyNumberFormat="1" applyFont="1" applyFill="1" applyBorder="1" applyAlignment="1">
      <alignment/>
    </xf>
    <xf numFmtId="170" fontId="2" fillId="0" borderId="54" xfId="42" applyNumberFormat="1" applyFont="1" applyFill="1" applyBorder="1" applyAlignment="1">
      <alignment horizontal="center"/>
    </xf>
    <xf numFmtId="170" fontId="15" fillId="0" borderId="0" xfId="0" applyNumberFormat="1" applyFont="1" applyAlignment="1">
      <alignment/>
    </xf>
    <xf numFmtId="171" fontId="14" fillId="0" borderId="0" xfId="0" applyNumberFormat="1" applyFont="1" applyAlignment="1">
      <alignment/>
    </xf>
    <xf numFmtId="170" fontId="13" fillId="0" borderId="0" xfId="0" applyNumberFormat="1" applyFont="1" applyAlignment="1">
      <alignment horizontal="right"/>
    </xf>
    <xf numFmtId="171" fontId="13" fillId="0" borderId="29" xfId="0" applyNumberFormat="1" applyFont="1" applyFill="1" applyBorder="1" applyAlignment="1" quotePrefix="1">
      <alignment horizontal="center"/>
    </xf>
    <xf numFmtId="170" fontId="13" fillId="0" borderId="59" xfId="0" applyNumberFormat="1" applyFont="1" applyFill="1" applyBorder="1" applyAlignment="1">
      <alignment/>
    </xf>
    <xf numFmtId="3" fontId="14" fillId="0" borderId="30" xfId="0" applyNumberFormat="1" applyFont="1" applyFill="1" applyBorder="1" applyAlignment="1" quotePrefix="1">
      <alignment horizontal="center"/>
    </xf>
    <xf numFmtId="170" fontId="13" fillId="0" borderId="12" xfId="0" applyNumberFormat="1" applyFont="1" applyFill="1" applyBorder="1" applyAlignment="1">
      <alignment/>
    </xf>
    <xf numFmtId="170" fontId="13" fillId="0" borderId="32" xfId="0" applyNumberFormat="1" applyFont="1" applyFill="1" applyBorder="1" applyAlignment="1">
      <alignment/>
    </xf>
    <xf numFmtId="170" fontId="13" fillId="0" borderId="30" xfId="0" applyNumberFormat="1" applyFont="1" applyFill="1" applyBorder="1" applyAlignment="1">
      <alignment/>
    </xf>
    <xf numFmtId="170" fontId="13" fillId="0" borderId="9" xfId="0" applyNumberFormat="1" applyFont="1" applyFill="1" applyBorder="1" applyAlignment="1">
      <alignment/>
    </xf>
    <xf numFmtId="170" fontId="15" fillId="0" borderId="9" xfId="0" applyNumberFormat="1" applyFont="1" applyFill="1" applyBorder="1" applyAlignment="1">
      <alignment/>
    </xf>
    <xf numFmtId="170" fontId="14" fillId="0" borderId="9" xfId="0" applyNumberFormat="1" applyFont="1" applyFill="1" applyBorder="1" applyAlignment="1">
      <alignment/>
    </xf>
    <xf numFmtId="170" fontId="13" fillId="0" borderId="34" xfId="0" applyNumberFormat="1" applyFont="1" applyFill="1" applyBorder="1" applyAlignment="1">
      <alignment/>
    </xf>
    <xf numFmtId="0" fontId="43" fillId="0" borderId="9" xfId="0" applyFont="1" applyFill="1" applyBorder="1" applyAlignment="1">
      <alignment/>
    </xf>
    <xf numFmtId="170" fontId="14" fillId="0" borderId="40" xfId="0" applyNumberFormat="1" applyFont="1" applyBorder="1" applyAlignment="1">
      <alignment/>
    </xf>
    <xf numFmtId="170" fontId="14" fillId="0" borderId="9" xfId="0" applyNumberFormat="1" applyFont="1" applyBorder="1" applyAlignment="1">
      <alignment/>
    </xf>
    <xf numFmtId="0" fontId="45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11" fillId="0" borderId="0" xfId="0" applyFont="1" applyBorder="1" applyAlignment="1">
      <alignment/>
    </xf>
    <xf numFmtId="164" fontId="11" fillId="0" borderId="0" xfId="42" applyNumberFormat="1" applyFont="1" applyAlignment="1">
      <alignment/>
    </xf>
    <xf numFmtId="0" fontId="13" fillId="0" borderId="0" xfId="0" applyFont="1" applyAlignment="1">
      <alignment/>
    </xf>
    <xf numFmtId="0" fontId="11" fillId="0" borderId="13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0" fontId="11" fillId="0" borderId="14" xfId="0" applyFont="1" applyBorder="1" applyAlignment="1">
      <alignment/>
    </xf>
    <xf numFmtId="170" fontId="47" fillId="0" borderId="13" xfId="0" applyNumberFormat="1" applyFont="1" applyBorder="1" applyAlignment="1" quotePrefix="1">
      <alignment horizontal="center"/>
    </xf>
    <xf numFmtId="0" fontId="48" fillId="25" borderId="67" xfId="0" applyFont="1" applyFill="1" applyBorder="1" applyAlignment="1">
      <alignment horizontal="center"/>
    </xf>
    <xf numFmtId="164" fontId="47" fillId="26" borderId="68" xfId="42" applyNumberFormat="1" applyFont="1" applyFill="1" applyBorder="1" applyAlignment="1" quotePrefix="1">
      <alignment horizontal="center"/>
    </xf>
    <xf numFmtId="164" fontId="47" fillId="27" borderId="13" xfId="42" applyNumberFormat="1" applyFont="1" applyFill="1" applyBorder="1" applyAlignment="1">
      <alignment/>
    </xf>
    <xf numFmtId="164" fontId="47" fillId="26" borderId="17" xfId="42" applyNumberFormat="1" applyFont="1" applyFill="1" applyBorder="1" applyAlignment="1" quotePrefix="1">
      <alignment horizontal="center"/>
    </xf>
    <xf numFmtId="170" fontId="47" fillId="0" borderId="0" xfId="0" applyNumberFormat="1" applyFont="1" applyBorder="1" applyAlignment="1" quotePrefix="1">
      <alignment horizontal="center"/>
    </xf>
    <xf numFmtId="0" fontId="11" fillId="0" borderId="18" xfId="0" applyFont="1" applyBorder="1" applyAlignment="1">
      <alignment/>
    </xf>
    <xf numFmtId="170" fontId="47" fillId="0" borderId="18" xfId="0" applyNumberFormat="1" applyFont="1" applyBorder="1" applyAlignment="1" quotePrefix="1">
      <alignment horizontal="center"/>
    </xf>
    <xf numFmtId="0" fontId="48" fillId="25" borderId="69" xfId="0" applyFont="1" applyFill="1" applyBorder="1" applyAlignment="1">
      <alignment horizontal="center"/>
    </xf>
    <xf numFmtId="164" fontId="47" fillId="26" borderId="70" xfId="42" applyNumberFormat="1" applyFont="1" applyFill="1" applyBorder="1" applyAlignment="1" quotePrefix="1">
      <alignment horizontal="center"/>
    </xf>
    <xf numFmtId="164" fontId="47" fillId="27" borderId="14" xfId="42" applyNumberFormat="1" applyFont="1" applyFill="1" applyBorder="1" applyAlignment="1">
      <alignment/>
    </xf>
    <xf numFmtId="164" fontId="47" fillId="26" borderId="21" xfId="42" applyNumberFormat="1" applyFont="1" applyFill="1" applyBorder="1" applyAlignment="1" quotePrefix="1">
      <alignment horizontal="center"/>
    </xf>
    <xf numFmtId="170" fontId="47" fillId="0" borderId="71" xfId="0" applyNumberFormat="1" applyFont="1" applyBorder="1" applyAlignment="1" quotePrefix="1">
      <alignment horizontal="center"/>
    </xf>
    <xf numFmtId="170" fontId="47" fillId="0" borderId="72" xfId="0" applyNumberFormat="1" applyFont="1" applyBorder="1" applyAlignment="1" quotePrefix="1">
      <alignment horizontal="center"/>
    </xf>
    <xf numFmtId="170" fontId="47" fillId="0" borderId="21" xfId="0" applyNumberFormat="1" applyFont="1" applyBorder="1" applyAlignment="1" quotePrefix="1">
      <alignment horizontal="center"/>
    </xf>
    <xf numFmtId="170" fontId="11" fillId="0" borderId="0" xfId="0" applyNumberFormat="1" applyFont="1" applyBorder="1" applyAlignment="1" quotePrefix="1">
      <alignment horizontal="center"/>
    </xf>
    <xf numFmtId="164" fontId="11" fillId="27" borderId="14" xfId="42" applyNumberFormat="1" applyFont="1" applyFill="1" applyBorder="1" applyAlignment="1">
      <alignment/>
    </xf>
    <xf numFmtId="170" fontId="12" fillId="0" borderId="14" xfId="0" applyNumberFormat="1" applyFont="1" applyBorder="1" applyAlignment="1">
      <alignment/>
    </xf>
    <xf numFmtId="166" fontId="47" fillId="0" borderId="14" xfId="0" applyNumberFormat="1" applyFont="1" applyBorder="1" applyAlignment="1">
      <alignment horizontal="right"/>
    </xf>
    <xf numFmtId="166" fontId="47" fillId="0" borderId="0" xfId="0" applyNumberFormat="1" applyFont="1" applyBorder="1" applyAlignment="1">
      <alignment horizontal="right"/>
    </xf>
    <xf numFmtId="166" fontId="47" fillId="0" borderId="0" xfId="42" applyNumberFormat="1" applyFont="1" applyFill="1" applyBorder="1" applyAlignment="1">
      <alignment horizontal="right"/>
    </xf>
    <xf numFmtId="166" fontId="47" fillId="0" borderId="0" xfId="0" applyNumberFormat="1" applyFont="1" applyBorder="1" applyAlignment="1">
      <alignment horizontal="center"/>
    </xf>
    <xf numFmtId="166" fontId="47" fillId="0" borderId="0" xfId="0" applyNumberFormat="1" applyFont="1" applyBorder="1" applyAlignment="1">
      <alignment/>
    </xf>
    <xf numFmtId="170" fontId="11" fillId="0" borderId="14" xfId="0" applyNumberFormat="1" applyFont="1" applyBorder="1" applyAlignment="1">
      <alignment/>
    </xf>
    <xf numFmtId="166" fontId="11" fillId="0" borderId="14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6" fontId="11" fillId="0" borderId="0" xfId="42" applyNumberFormat="1" applyFont="1" applyFill="1" applyBorder="1" applyAlignment="1">
      <alignment horizontal="right"/>
    </xf>
    <xf numFmtId="166" fontId="11" fillId="0" borderId="0" xfId="0" applyNumberFormat="1" applyFont="1" applyBorder="1" applyAlignment="1">
      <alignment horizontal="center"/>
    </xf>
    <xf numFmtId="166" fontId="11" fillId="0" borderId="0" xfId="0" applyNumberFormat="1" applyFont="1" applyBorder="1" applyAlignment="1">
      <alignment/>
    </xf>
    <xf numFmtId="166" fontId="11" fillId="0" borderId="23" xfId="0" applyNumberFormat="1" applyFont="1" applyBorder="1" applyAlignment="1">
      <alignment horizontal="right"/>
    </xf>
    <xf numFmtId="49" fontId="11" fillId="0" borderId="14" xfId="0" applyNumberFormat="1" applyFont="1" applyFill="1" applyBorder="1" applyAlignment="1" applyProtection="1">
      <alignment/>
      <protection/>
    </xf>
    <xf numFmtId="166" fontId="11" fillId="0" borderId="0" xfId="0" applyNumberFormat="1" applyFont="1" applyAlignment="1">
      <alignment/>
    </xf>
    <xf numFmtId="166" fontId="11" fillId="0" borderId="14" xfId="0" applyNumberFormat="1" applyFont="1" applyFill="1" applyBorder="1" applyAlignment="1">
      <alignment horizontal="right"/>
    </xf>
    <xf numFmtId="166" fontId="11" fillId="0" borderId="0" xfId="0" applyNumberFormat="1" applyFont="1" applyFill="1" applyBorder="1" applyAlignment="1">
      <alignment horizontal="right"/>
    </xf>
    <xf numFmtId="49" fontId="47" fillId="0" borderId="24" xfId="0" applyNumberFormat="1" applyFont="1" applyFill="1" applyBorder="1" applyAlignment="1" applyProtection="1">
      <alignment/>
      <protection/>
    </xf>
    <xf numFmtId="166" fontId="47" fillId="0" borderId="24" xfId="0" applyNumberFormat="1" applyFont="1" applyBorder="1" applyAlignment="1">
      <alignment horizontal="right"/>
    </xf>
    <xf numFmtId="166" fontId="47" fillId="0" borderId="25" xfId="0" applyNumberFormat="1" applyFont="1" applyBorder="1" applyAlignment="1">
      <alignment horizontal="right"/>
    </xf>
    <xf numFmtId="166" fontId="47" fillId="0" borderId="27" xfId="42" applyNumberFormat="1" applyFont="1" applyBorder="1" applyAlignment="1">
      <alignment horizontal="right"/>
    </xf>
    <xf numFmtId="49" fontId="47" fillId="0" borderId="26" xfId="0" applyNumberFormat="1" applyFont="1" applyFill="1" applyBorder="1" applyAlignment="1" applyProtection="1">
      <alignment horizontal="center"/>
      <protection/>
    </xf>
    <xf numFmtId="166" fontId="47" fillId="0" borderId="73" xfId="0" applyNumberFormat="1" applyFont="1" applyBorder="1" applyAlignment="1">
      <alignment horizontal="right"/>
    </xf>
    <xf numFmtId="166" fontId="11" fillId="0" borderId="0" xfId="42" applyNumberFormat="1" applyFont="1" applyBorder="1" applyAlignment="1">
      <alignment horizontal="right"/>
    </xf>
    <xf numFmtId="49" fontId="12" fillId="0" borderId="14" xfId="0" applyNumberFormat="1" applyFont="1" applyFill="1" applyBorder="1" applyAlignment="1" applyProtection="1">
      <alignment/>
      <protection/>
    </xf>
    <xf numFmtId="49" fontId="47" fillId="0" borderId="14" xfId="0" applyNumberFormat="1" applyFont="1" applyFill="1" applyBorder="1" applyAlignment="1" applyProtection="1">
      <alignment/>
      <protection/>
    </xf>
    <xf numFmtId="166" fontId="47" fillId="0" borderId="14" xfId="0" applyNumberFormat="1" applyFont="1" applyFill="1" applyBorder="1" applyAlignment="1">
      <alignment horizontal="right"/>
    </xf>
    <xf numFmtId="172" fontId="11" fillId="0" borderId="14" xfId="0" applyNumberFormat="1" applyFont="1" applyBorder="1" applyAlignment="1">
      <alignment/>
    </xf>
    <xf numFmtId="166" fontId="11" fillId="0" borderId="0" xfId="0" applyNumberFormat="1" applyFont="1" applyFill="1" applyBorder="1" applyAlignment="1">
      <alignment horizontal="center"/>
    </xf>
    <xf numFmtId="166" fontId="1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49" fontId="11" fillId="0" borderId="14" xfId="0" applyNumberFormat="1" applyFont="1" applyFill="1" applyBorder="1" applyAlignment="1" applyProtection="1">
      <alignment horizontal="left"/>
      <protection/>
    </xf>
    <xf numFmtId="172" fontId="11" fillId="0" borderId="0" xfId="0" applyNumberFormat="1" applyFont="1" applyFill="1" applyBorder="1" applyAlignment="1">
      <alignment/>
    </xf>
    <xf numFmtId="164" fontId="11" fillId="0" borderId="14" xfId="42" applyNumberFormat="1" applyFont="1" applyFill="1" applyBorder="1" applyAlignment="1">
      <alignment/>
    </xf>
    <xf numFmtId="172" fontId="11" fillId="0" borderId="0" xfId="0" applyNumberFormat="1" applyFont="1" applyBorder="1" applyAlignment="1">
      <alignment/>
    </xf>
    <xf numFmtId="49" fontId="11" fillId="0" borderId="14" xfId="0" applyNumberFormat="1" applyFont="1" applyFill="1" applyBorder="1" applyAlignment="1" applyProtection="1">
      <alignment horizontal="left" indent="1"/>
      <protection/>
    </xf>
    <xf numFmtId="166" fontId="11" fillId="0" borderId="21" xfId="0" applyNumberFormat="1" applyFont="1" applyBorder="1" applyAlignment="1">
      <alignment horizontal="right"/>
    </xf>
    <xf numFmtId="172" fontId="47" fillId="0" borderId="24" xfId="0" applyNumberFormat="1" applyFont="1" applyBorder="1" applyAlignment="1">
      <alignment wrapText="1"/>
    </xf>
    <xf numFmtId="172" fontId="47" fillId="0" borderId="26" xfId="0" applyNumberFormat="1" applyFont="1" applyBorder="1" applyAlignment="1">
      <alignment horizontal="center" wrapText="1"/>
    </xf>
    <xf numFmtId="166" fontId="11" fillId="8" borderId="14" xfId="0" applyNumberFormat="1" applyFont="1" applyFill="1" applyBorder="1" applyAlignment="1">
      <alignment horizontal="right"/>
    </xf>
    <xf numFmtId="172" fontId="47" fillId="0" borderId="24" xfId="0" applyNumberFormat="1" applyFont="1" applyBorder="1" applyAlignment="1">
      <alignment/>
    </xf>
    <xf numFmtId="166" fontId="47" fillId="0" borderId="27" xfId="0" applyNumberFormat="1" applyFont="1" applyBorder="1" applyAlignment="1">
      <alignment horizontal="right"/>
    </xf>
    <xf numFmtId="172" fontId="11" fillId="0" borderId="0" xfId="0" applyNumberFormat="1" applyFont="1" applyBorder="1" applyAlignment="1">
      <alignment horizontal="center"/>
    </xf>
    <xf numFmtId="166" fontId="47" fillId="0" borderId="24" xfId="0" applyNumberFormat="1" applyFont="1" applyBorder="1" applyAlignment="1">
      <alignment/>
    </xf>
    <xf numFmtId="166" fontId="47" fillId="0" borderId="25" xfId="0" applyNumberFormat="1" applyFont="1" applyBorder="1" applyAlignment="1">
      <alignment/>
    </xf>
    <xf numFmtId="166" fontId="47" fillId="26" borderId="24" xfId="0" applyNumberFormat="1" applyFont="1" applyFill="1" applyBorder="1" applyAlignment="1">
      <alignment/>
    </xf>
    <xf numFmtId="164" fontId="47" fillId="27" borderId="18" xfId="42" applyNumberFormat="1" applyFont="1" applyFill="1" applyBorder="1" applyAlignment="1">
      <alignment/>
    </xf>
    <xf numFmtId="166" fontId="47" fillId="26" borderId="27" xfId="0" applyNumberFormat="1" applyFont="1" applyFill="1" applyBorder="1" applyAlignment="1">
      <alignment/>
    </xf>
    <xf numFmtId="170" fontId="47" fillId="0" borderId="74" xfId="0" applyNumberFormat="1" applyFont="1" applyBorder="1" applyAlignment="1" quotePrefix="1">
      <alignment horizontal="center"/>
    </xf>
    <xf numFmtId="170" fontId="47" fillId="0" borderId="30" xfId="0" applyNumberFormat="1" applyFont="1" applyBorder="1" applyAlignment="1" quotePrefix="1">
      <alignment horizontal="center"/>
    </xf>
    <xf numFmtId="170" fontId="47" fillId="0" borderId="23" xfId="0" applyNumberFormat="1" applyFont="1" applyBorder="1" applyAlignment="1" quotePrefix="1">
      <alignment horizontal="center"/>
    </xf>
    <xf numFmtId="3" fontId="47" fillId="0" borderId="75" xfId="0" applyNumberFormat="1" applyFont="1" applyBorder="1" applyAlignment="1">
      <alignment horizontal="center"/>
    </xf>
    <xf numFmtId="0" fontId="11" fillId="0" borderId="76" xfId="0" applyFont="1" applyBorder="1" applyAlignment="1">
      <alignment/>
    </xf>
    <xf numFmtId="166" fontId="47" fillId="0" borderId="74" xfId="0" applyNumberFormat="1" applyFont="1" applyBorder="1" applyAlignment="1">
      <alignment/>
    </xf>
    <xf numFmtId="166" fontId="11" fillId="0" borderId="74" xfId="0" applyNumberFormat="1" applyFont="1" applyBorder="1" applyAlignment="1">
      <alignment/>
    </xf>
    <xf numFmtId="166" fontId="47" fillId="0" borderId="77" xfId="0" applyNumberFormat="1" applyFont="1" applyBorder="1" applyAlignment="1">
      <alignment/>
    </xf>
    <xf numFmtId="0" fontId="11" fillId="0" borderId="74" xfId="0" applyFont="1" applyBorder="1" applyAlignment="1">
      <alignment/>
    </xf>
    <xf numFmtId="166" fontId="11" fillId="0" borderId="74" xfId="0" applyNumberFormat="1" applyFont="1" applyFill="1" applyBorder="1" applyAlignment="1">
      <alignment/>
    </xf>
    <xf numFmtId="0" fontId="49" fillId="0" borderId="74" xfId="0" applyFont="1" applyBorder="1" applyAlignment="1">
      <alignment/>
    </xf>
    <xf numFmtId="166" fontId="11" fillId="0" borderId="71" xfId="0" applyNumberFormat="1" applyFont="1" applyBorder="1" applyAlignment="1">
      <alignment horizontal="right"/>
    </xf>
    <xf numFmtId="166" fontId="11" fillId="0" borderId="74" xfId="0" applyNumberFormat="1" applyFont="1" applyBorder="1" applyAlignment="1">
      <alignment horizontal="right"/>
    </xf>
    <xf numFmtId="166" fontId="47" fillId="0" borderId="78" xfId="0" applyNumberFormat="1" applyFont="1" applyBorder="1" applyAlignment="1">
      <alignment/>
    </xf>
    <xf numFmtId="0" fontId="11" fillId="0" borderId="79" xfId="0" applyFont="1" applyBorder="1" applyAlignment="1">
      <alignment/>
    </xf>
    <xf numFmtId="166" fontId="47" fillId="0" borderId="30" xfId="0" applyNumberFormat="1" applyFont="1" applyBorder="1" applyAlignment="1">
      <alignment/>
    </xf>
    <xf numFmtId="166" fontId="11" fillId="0" borderId="30" xfId="0" applyNumberFormat="1" applyFont="1" applyBorder="1" applyAlignment="1">
      <alignment/>
    </xf>
    <xf numFmtId="166" fontId="47" fillId="0" borderId="12" xfId="0" applyNumberFormat="1" applyFont="1" applyBorder="1" applyAlignment="1">
      <alignment/>
    </xf>
    <xf numFmtId="0" fontId="11" fillId="0" borderId="30" xfId="0" applyFont="1" applyBorder="1" applyAlignment="1">
      <alignment/>
    </xf>
    <xf numFmtId="166" fontId="11" fillId="0" borderId="30" xfId="0" applyNumberFormat="1" applyFont="1" applyFill="1" applyBorder="1" applyAlignment="1">
      <alignment/>
    </xf>
    <xf numFmtId="0" fontId="11" fillId="0" borderId="72" xfId="0" applyFont="1" applyBorder="1" applyAlignment="1">
      <alignment/>
    </xf>
    <xf numFmtId="166" fontId="47" fillId="0" borderId="80" xfId="0" applyNumberFormat="1" applyFont="1" applyBorder="1" applyAlignment="1">
      <alignment horizontal="right"/>
    </xf>
    <xf numFmtId="166" fontId="11" fillId="0" borderId="30" xfId="0" applyNumberFormat="1" applyFont="1" applyBorder="1" applyAlignment="1">
      <alignment horizontal="right"/>
    </xf>
    <xf numFmtId="0" fontId="47" fillId="0" borderId="15" xfId="0" applyFont="1" applyBorder="1" applyAlignment="1">
      <alignment horizontal="center"/>
    </xf>
    <xf numFmtId="164" fontId="47" fillId="0" borderId="15" xfId="42" applyNumberFormat="1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0" xfId="0" applyFont="1" applyBorder="1" applyAlignment="1">
      <alignment/>
    </xf>
    <xf numFmtId="164" fontId="11" fillId="0" borderId="0" xfId="42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172" fontId="11" fillId="0" borderId="22" xfId="0" applyNumberFormat="1" applyFont="1" applyBorder="1" applyAlignment="1">
      <alignment/>
    </xf>
    <xf numFmtId="166" fontId="47" fillId="0" borderId="19" xfId="0" applyNumberFormat="1" applyFont="1" applyBorder="1" applyAlignment="1">
      <alignment/>
    </xf>
    <xf numFmtId="166" fontId="47" fillId="0" borderId="19" xfId="0" applyNumberFormat="1" applyFont="1" applyBorder="1" applyAlignment="1">
      <alignment/>
    </xf>
    <xf numFmtId="166" fontId="47" fillId="0" borderId="19" xfId="0" applyNumberFormat="1" applyFont="1" applyBorder="1" applyAlignment="1">
      <alignment horizontal="center"/>
    </xf>
    <xf numFmtId="0" fontId="11" fillId="0" borderId="9" xfId="0" applyFont="1" applyBorder="1" applyAlignment="1">
      <alignment/>
    </xf>
    <xf numFmtId="170" fontId="13" fillId="0" borderId="12" xfId="0" applyNumberFormat="1" applyFont="1" applyBorder="1" applyAlignment="1">
      <alignment/>
    </xf>
    <xf numFmtId="170" fontId="44" fillId="20" borderId="34" xfId="0" applyNumberFormat="1" applyFont="1" applyFill="1" applyBorder="1" applyAlignment="1">
      <alignment/>
    </xf>
    <xf numFmtId="170" fontId="13" fillId="0" borderId="81" xfId="0" applyNumberFormat="1" applyFont="1" applyFill="1" applyBorder="1" applyAlignment="1">
      <alignment/>
    </xf>
    <xf numFmtId="171" fontId="13" fillId="0" borderId="79" xfId="0" applyNumberFormat="1" applyFont="1" applyFill="1" applyBorder="1" applyAlignment="1" quotePrefix="1">
      <alignment horizontal="center"/>
    </xf>
    <xf numFmtId="170" fontId="13" fillId="0" borderId="68" xfId="0" applyNumberFormat="1" applyFont="1" applyFill="1" applyBorder="1" applyAlignment="1">
      <alignment horizontal="center"/>
    </xf>
    <xf numFmtId="170" fontId="13" fillId="0" borderId="82" xfId="0" applyNumberFormat="1" applyFont="1" applyFill="1" applyBorder="1" applyAlignment="1" quotePrefix="1">
      <alignment horizontal="center"/>
    </xf>
    <xf numFmtId="3" fontId="14" fillId="0" borderId="83" xfId="0" applyNumberFormat="1" applyFont="1" applyFill="1" applyBorder="1" applyAlignment="1" quotePrefix="1">
      <alignment horizontal="center"/>
    </xf>
    <xf numFmtId="170" fontId="14" fillId="0" borderId="83" xfId="0" applyNumberFormat="1" applyFont="1" applyFill="1" applyBorder="1" applyAlignment="1">
      <alignment/>
    </xf>
    <xf numFmtId="170" fontId="14" fillId="0" borderId="23" xfId="0" applyNumberFormat="1" applyFont="1" applyFill="1" applyBorder="1" applyAlignment="1">
      <alignment/>
    </xf>
    <xf numFmtId="170" fontId="13" fillId="0" borderId="84" xfId="0" applyNumberFormat="1" applyFont="1" applyBorder="1" applyAlignment="1">
      <alignment/>
    </xf>
    <xf numFmtId="170" fontId="13" fillId="0" borderId="84" xfId="0" applyNumberFormat="1" applyFont="1" applyFill="1" applyBorder="1" applyAlignment="1">
      <alignment/>
    </xf>
    <xf numFmtId="170" fontId="13" fillId="0" borderId="83" xfId="0" applyNumberFormat="1" applyFont="1" applyFill="1" applyBorder="1" applyAlignment="1">
      <alignment/>
    </xf>
    <xf numFmtId="170" fontId="13" fillId="0" borderId="73" xfId="0" applyNumberFormat="1" applyFont="1" applyFill="1" applyBorder="1" applyAlignment="1">
      <alignment/>
    </xf>
    <xf numFmtId="0" fontId="43" fillId="0" borderId="23" xfId="0" applyFont="1" applyFill="1" applyBorder="1" applyAlignment="1">
      <alignment/>
    </xf>
    <xf numFmtId="170" fontId="13" fillId="0" borderId="23" xfId="0" applyNumberFormat="1" applyFont="1" applyFill="1" applyBorder="1" applyAlignment="1">
      <alignment/>
    </xf>
    <xf numFmtId="170" fontId="44" fillId="20" borderId="73" xfId="0" applyNumberFormat="1" applyFont="1" applyFill="1" applyBorder="1" applyAlignment="1">
      <alignment/>
    </xf>
    <xf numFmtId="170" fontId="13" fillId="20" borderId="85" xfId="0" applyNumberFormat="1" applyFont="1" applyFill="1" applyBorder="1" applyAlignment="1">
      <alignment/>
    </xf>
    <xf numFmtId="170" fontId="13" fillId="20" borderId="86" xfId="0" applyNumberFormat="1" applyFont="1" applyFill="1" applyBorder="1" applyAlignment="1">
      <alignment/>
    </xf>
    <xf numFmtId="170" fontId="15" fillId="0" borderId="0" xfId="0" applyNumberFormat="1" applyFont="1" applyFill="1" applyBorder="1" applyAlignment="1">
      <alignment/>
    </xf>
    <xf numFmtId="166" fontId="47" fillId="0" borderId="87" xfId="0" applyNumberFormat="1" applyFont="1" applyBorder="1" applyAlignment="1">
      <alignment horizontal="right"/>
    </xf>
    <xf numFmtId="3" fontId="47" fillId="0" borderId="27" xfId="0" applyNumberFormat="1" applyFont="1" applyBorder="1" applyAlignment="1">
      <alignment horizontal="right"/>
    </xf>
    <xf numFmtId="166" fontId="11" fillId="0" borderId="9" xfId="0" applyNumberFormat="1" applyFont="1" applyBorder="1" applyAlignment="1">
      <alignment/>
    </xf>
    <xf numFmtId="170" fontId="47" fillId="0" borderId="0" xfId="0" applyNumberFormat="1" applyFont="1" applyBorder="1" applyAlignment="1">
      <alignment horizontal="center"/>
    </xf>
    <xf numFmtId="3" fontId="11" fillId="0" borderId="0" xfId="0" applyNumberFormat="1" applyFont="1" applyAlignment="1">
      <alignment/>
    </xf>
    <xf numFmtId="3" fontId="47" fillId="0" borderId="0" xfId="0" applyNumberFormat="1" applyFont="1" applyAlignment="1">
      <alignment/>
    </xf>
    <xf numFmtId="3" fontId="47" fillId="0" borderId="73" xfId="0" applyNumberFormat="1" applyFont="1" applyBorder="1" applyAlignment="1">
      <alignment horizontal="right"/>
    </xf>
    <xf numFmtId="3" fontId="11" fillId="0" borderId="0" xfId="0" applyNumberFormat="1" applyFont="1" applyFill="1" applyAlignment="1">
      <alignment/>
    </xf>
    <xf numFmtId="3" fontId="47" fillId="0" borderId="78" xfId="0" applyNumberFormat="1" applyFont="1" applyBorder="1" applyAlignment="1">
      <alignment/>
    </xf>
    <xf numFmtId="170" fontId="14" fillId="0" borderId="55" xfId="0" applyNumberFormat="1" applyFont="1" applyFill="1" applyBorder="1" applyAlignment="1">
      <alignment/>
    </xf>
    <xf numFmtId="170" fontId="14" fillId="0" borderId="55" xfId="0" applyNumberFormat="1" applyFont="1" applyBorder="1" applyAlignment="1">
      <alignment/>
    </xf>
    <xf numFmtId="170" fontId="14" fillId="0" borderId="23" xfId="0" applyNumberFormat="1" applyFont="1" applyBorder="1" applyAlignment="1">
      <alignment/>
    </xf>
    <xf numFmtId="170" fontId="13" fillId="0" borderId="17" xfId="0" applyNumberFormat="1" applyFont="1" applyBorder="1" applyAlignment="1">
      <alignment horizontal="center"/>
    </xf>
    <xf numFmtId="170" fontId="13" fillId="0" borderId="23" xfId="0" applyNumberFormat="1" applyFont="1" applyBorder="1" applyAlignment="1">
      <alignment/>
    </xf>
    <xf numFmtId="170" fontId="14" fillId="0" borderId="88" xfId="0" applyNumberFormat="1" applyFont="1" applyBorder="1" applyAlignment="1">
      <alignment/>
    </xf>
    <xf numFmtId="170" fontId="14" fillId="0" borderId="89" xfId="0" applyNumberFormat="1" applyFont="1" applyFill="1" applyBorder="1" applyAlignment="1">
      <alignment/>
    </xf>
    <xf numFmtId="170" fontId="14" fillId="0" borderId="21" xfId="0" applyNumberFormat="1" applyFont="1" applyBorder="1" applyAlignment="1">
      <alignment/>
    </xf>
    <xf numFmtId="170" fontId="11" fillId="0" borderId="22" xfId="0" applyNumberFormat="1" applyFont="1" applyFill="1" applyBorder="1" applyAlignment="1">
      <alignment/>
    </xf>
    <xf numFmtId="170" fontId="11" fillId="0" borderId="74" xfId="0" applyNumberFormat="1" applyFont="1" applyFill="1" applyBorder="1" applyAlignment="1">
      <alignment/>
    </xf>
    <xf numFmtId="170" fontId="11" fillId="0" borderId="22" xfId="0" applyNumberFormat="1" applyFont="1" applyBorder="1" applyAlignment="1">
      <alignment/>
    </xf>
    <xf numFmtId="170" fontId="1" fillId="0" borderId="0" xfId="42" applyNumberFormat="1" applyFont="1" applyFill="1" applyBorder="1" applyAlignment="1">
      <alignment/>
    </xf>
    <xf numFmtId="170" fontId="14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66" fontId="47" fillId="0" borderId="87" xfId="0" applyNumberFormat="1" applyFont="1" applyBorder="1" applyAlignment="1">
      <alignment/>
    </xf>
    <xf numFmtId="170" fontId="1" fillId="0" borderId="42" xfId="42" applyNumberFormat="1" applyFont="1" applyFill="1" applyBorder="1" applyAlignment="1">
      <alignment/>
    </xf>
    <xf numFmtId="170" fontId="1" fillId="0" borderId="0" xfId="42" applyNumberFormat="1" applyFont="1" applyFill="1" applyAlignment="1">
      <alignment/>
    </xf>
    <xf numFmtId="170" fontId="2" fillId="0" borderId="30" xfId="42" applyNumberFormat="1" applyFont="1" applyFill="1" applyBorder="1" applyAlignment="1">
      <alignment/>
    </xf>
    <xf numFmtId="170" fontId="1" fillId="0" borderId="30" xfId="42" applyNumberFormat="1" applyFont="1" applyFill="1" applyBorder="1" applyAlignment="1">
      <alignment/>
    </xf>
    <xf numFmtId="170" fontId="1" fillId="0" borderId="29" xfId="42" applyNumberFormat="1" applyFont="1" applyFill="1" applyBorder="1" applyAlignment="1">
      <alignment/>
    </xf>
    <xf numFmtId="170" fontId="1" fillId="0" borderId="43" xfId="42" applyNumberFormat="1" applyFont="1" applyFill="1" applyBorder="1" applyAlignment="1">
      <alignment/>
    </xf>
    <xf numFmtId="170" fontId="2" fillId="0" borderId="45" xfId="42" applyNumberFormat="1" applyFont="1" applyFill="1" applyBorder="1" applyAlignment="1">
      <alignment/>
    </xf>
    <xf numFmtId="170" fontId="1" fillId="0" borderId="36" xfId="42" applyNumberFormat="1" applyFont="1" applyFill="1" applyBorder="1" applyAlignment="1">
      <alignment/>
    </xf>
    <xf numFmtId="170" fontId="1" fillId="0" borderId="62" xfId="42" applyNumberFormat="1" applyFont="1" applyFill="1" applyBorder="1" applyAlignment="1">
      <alignment/>
    </xf>
    <xf numFmtId="170" fontId="2" fillId="0" borderId="42" xfId="42" applyNumberFormat="1" applyFont="1" applyFill="1" applyBorder="1" applyAlignment="1">
      <alignment/>
    </xf>
    <xf numFmtId="170" fontId="2" fillId="0" borderId="44" xfId="0" applyNumberFormat="1" applyFont="1" applyFill="1" applyBorder="1" applyAlignment="1">
      <alignment/>
    </xf>
    <xf numFmtId="170" fontId="2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170" fontId="2" fillId="0" borderId="28" xfId="42" applyNumberFormat="1" applyFont="1" applyFill="1" applyBorder="1" applyAlignment="1">
      <alignment horizontal="center" wrapText="1"/>
    </xf>
    <xf numFmtId="170" fontId="1" fillId="0" borderId="28" xfId="42" applyNumberFormat="1" applyFont="1" applyFill="1" applyBorder="1" applyAlignment="1">
      <alignment/>
    </xf>
    <xf numFmtId="170" fontId="1" fillId="0" borderId="41" xfId="42" applyNumberFormat="1" applyFont="1" applyFill="1" applyBorder="1" applyAlignment="1">
      <alignment vertical="top"/>
    </xf>
    <xf numFmtId="170" fontId="1" fillId="0" borderId="55" xfId="42" applyNumberFormat="1" applyFont="1" applyFill="1" applyBorder="1" applyAlignment="1">
      <alignment vertical="top"/>
    </xf>
    <xf numFmtId="170" fontId="1" fillId="0" borderId="57" xfId="0" applyNumberFormat="1" applyFont="1" applyBorder="1" applyAlignment="1">
      <alignment/>
    </xf>
    <xf numFmtId="170" fontId="1" fillId="0" borderId="39" xfId="42" applyNumberFormat="1" applyFont="1" applyFill="1" applyBorder="1" applyAlignment="1">
      <alignment/>
    </xf>
    <xf numFmtId="170" fontId="2" fillId="0" borderId="46" xfId="0" applyNumberFormat="1" applyFont="1" applyFill="1" applyBorder="1" applyAlignment="1">
      <alignment/>
    </xf>
    <xf numFmtId="170" fontId="1" fillId="0" borderId="62" xfId="0" applyNumberFormat="1" applyFont="1" applyBorder="1" applyAlignment="1">
      <alignment/>
    </xf>
    <xf numFmtId="170" fontId="1" fillId="0" borderId="90" xfId="0" applyNumberFormat="1" applyFont="1" applyBorder="1" applyAlignment="1">
      <alignment/>
    </xf>
    <xf numFmtId="170" fontId="2" fillId="0" borderId="90" xfId="0" applyNumberFormat="1" applyFont="1" applyBorder="1" applyAlignment="1">
      <alignment/>
    </xf>
    <xf numFmtId="170" fontId="2" fillId="0" borderId="62" xfId="0" applyNumberFormat="1" applyFont="1" applyBorder="1" applyAlignment="1">
      <alignment/>
    </xf>
    <xf numFmtId="170" fontId="2" fillId="0" borderId="91" xfId="0" applyNumberFormat="1" applyFont="1" applyBorder="1" applyAlignment="1">
      <alignment/>
    </xf>
    <xf numFmtId="170" fontId="1" fillId="0" borderId="41" xfId="42" applyNumberFormat="1" applyFont="1" applyFill="1" applyBorder="1" applyAlignment="1">
      <alignment/>
    </xf>
    <xf numFmtId="170" fontId="1" fillId="0" borderId="33" xfId="0" applyNumberFormat="1" applyFont="1" applyBorder="1" applyAlignment="1">
      <alignment/>
    </xf>
    <xf numFmtId="170" fontId="1" fillId="0" borderId="11" xfId="0" applyNumberFormat="1" applyFont="1" applyFill="1" applyBorder="1" applyAlignment="1">
      <alignment/>
    </xf>
    <xf numFmtId="170" fontId="1" fillId="0" borderId="62" xfId="0" applyNumberFormat="1" applyFont="1" applyFill="1" applyBorder="1" applyAlignment="1">
      <alignment/>
    </xf>
    <xf numFmtId="3" fontId="47" fillId="0" borderId="92" xfId="0" applyNumberFormat="1" applyFont="1" applyBorder="1" applyAlignment="1">
      <alignment horizontal="center"/>
    </xf>
    <xf numFmtId="3" fontId="47" fillId="0" borderId="0" xfId="0" applyNumberFormat="1" applyFont="1" applyAlignment="1">
      <alignment horizontal="center"/>
    </xf>
    <xf numFmtId="170" fontId="1" fillId="0" borderId="0" xfId="0" applyNumberFormat="1" applyFont="1" applyFill="1" applyBorder="1" applyAlignment="1">
      <alignment/>
    </xf>
    <xf numFmtId="170" fontId="2" fillId="0" borderId="39" xfId="42" applyNumberFormat="1" applyFont="1" applyFill="1" applyBorder="1" applyAlignment="1">
      <alignment/>
    </xf>
    <xf numFmtId="170" fontId="7" fillId="0" borderId="0" xfId="42" applyNumberFormat="1" applyFont="1" applyFill="1" applyAlignment="1">
      <alignment horizontal="center"/>
    </xf>
    <xf numFmtId="17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0" fontId="2" fillId="0" borderId="93" xfId="42" applyNumberFormat="1" applyFont="1" applyFill="1" applyBorder="1" applyAlignment="1">
      <alignment horizontal="center"/>
    </xf>
    <xf numFmtId="170" fontId="2" fillId="0" borderId="93" xfId="42" applyNumberFormat="1" applyFont="1" applyFill="1" applyBorder="1" applyAlignment="1">
      <alignment/>
    </xf>
    <xf numFmtId="170" fontId="2" fillId="0" borderId="49" xfId="42" applyNumberFormat="1" applyFont="1" applyFill="1" applyBorder="1" applyAlignment="1">
      <alignment horizontal="center"/>
    </xf>
    <xf numFmtId="170" fontId="2" fillId="0" borderId="28" xfId="42" applyNumberFormat="1" applyFont="1" applyFill="1" applyBorder="1" applyAlignment="1">
      <alignment horizontal="center"/>
    </xf>
    <xf numFmtId="170" fontId="2" fillId="0" borderId="38" xfId="0" applyNumberFormat="1" applyFont="1" applyFill="1" applyBorder="1" applyAlignment="1">
      <alignment horizontal="center"/>
    </xf>
    <xf numFmtId="170" fontId="2" fillId="0" borderId="59" xfId="42" applyNumberFormat="1" applyFont="1" applyFill="1" applyBorder="1" applyAlignment="1">
      <alignment horizontal="center"/>
    </xf>
    <xf numFmtId="170" fontId="2" fillId="0" borderId="41" xfId="42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/>
    </xf>
    <xf numFmtId="170" fontId="1" fillId="0" borderId="43" xfId="0" applyNumberFormat="1" applyFont="1" applyFill="1" applyBorder="1" applyAlignment="1">
      <alignment/>
    </xf>
    <xf numFmtId="170" fontId="1" fillId="0" borderId="9" xfId="42" applyNumberFormat="1" applyFont="1" applyFill="1" applyBorder="1" applyAlignment="1">
      <alignment/>
    </xf>
    <xf numFmtId="170" fontId="1" fillId="0" borderId="11" xfId="42" applyNumberFormat="1" applyFont="1" applyFill="1" applyBorder="1" applyAlignment="1">
      <alignment/>
    </xf>
    <xf numFmtId="170" fontId="2" fillId="0" borderId="60" xfId="42" applyNumberFormat="1" applyFont="1" applyFill="1" applyBorder="1" applyAlignment="1">
      <alignment/>
    </xf>
    <xf numFmtId="170" fontId="2" fillId="0" borderId="50" xfId="42" applyNumberFormat="1" applyFont="1" applyFill="1" applyBorder="1" applyAlignment="1">
      <alignment/>
    </xf>
    <xf numFmtId="170" fontId="2" fillId="0" borderId="43" xfId="42" applyNumberFormat="1" applyFont="1" applyFill="1" applyBorder="1" applyAlignment="1">
      <alignment/>
    </xf>
    <xf numFmtId="170" fontId="1" fillId="0" borderId="42" xfId="0" applyNumberFormat="1" applyFont="1" applyFill="1" applyBorder="1" applyAlignment="1">
      <alignment/>
    </xf>
    <xf numFmtId="170" fontId="2" fillId="0" borderId="31" xfId="42" applyNumberFormat="1" applyFont="1" applyFill="1" applyBorder="1" applyAlignment="1">
      <alignment/>
    </xf>
    <xf numFmtId="170" fontId="2" fillId="0" borderId="45" xfId="0" applyNumberFormat="1" applyFont="1" applyFill="1" applyBorder="1" applyAlignment="1">
      <alignment/>
    </xf>
    <xf numFmtId="170" fontId="1" fillId="0" borderId="39" xfId="0" applyNumberFormat="1" applyFont="1" applyFill="1" applyBorder="1" applyAlignment="1">
      <alignment/>
    </xf>
    <xf numFmtId="170" fontId="2" fillId="0" borderId="12" xfId="42" applyNumberFormat="1" applyFont="1" applyFill="1" applyBorder="1" applyAlignment="1">
      <alignment/>
    </xf>
    <xf numFmtId="170" fontId="2" fillId="0" borderId="47" xfId="42" applyNumberFormat="1" applyFont="1" applyFill="1" applyBorder="1" applyAlignment="1">
      <alignment/>
    </xf>
    <xf numFmtId="209" fontId="1" fillId="0" borderId="30" xfId="42" applyNumberFormat="1" applyFont="1" applyBorder="1" applyAlignment="1">
      <alignment/>
    </xf>
    <xf numFmtId="208" fontId="2" fillId="0" borderId="30" xfId="0" applyNumberFormat="1" applyFont="1" applyBorder="1" applyAlignment="1">
      <alignment/>
    </xf>
    <xf numFmtId="208" fontId="2" fillId="0" borderId="55" xfId="42" applyNumberFormat="1" applyFont="1" applyBorder="1" applyAlignment="1">
      <alignment/>
    </xf>
    <xf numFmtId="170" fontId="1" fillId="0" borderId="42" xfId="42" applyNumberFormat="1" applyFont="1" applyFill="1" applyBorder="1" applyAlignment="1">
      <alignment/>
    </xf>
    <xf numFmtId="170" fontId="2" fillId="0" borderId="46" xfId="42" applyNumberFormat="1" applyFont="1" applyFill="1" applyBorder="1" applyAlignment="1">
      <alignment/>
    </xf>
    <xf numFmtId="170" fontId="2" fillId="0" borderId="61" xfId="42" applyNumberFormat="1" applyFont="1" applyFill="1" applyBorder="1" applyAlignment="1">
      <alignment/>
    </xf>
    <xf numFmtId="170" fontId="2" fillId="0" borderId="51" xfId="42" applyNumberFormat="1" applyFont="1" applyFill="1" applyBorder="1" applyAlignment="1">
      <alignment/>
    </xf>
    <xf numFmtId="166" fontId="47" fillId="0" borderId="30" xfId="0" applyNumberFormat="1" applyFont="1" applyFill="1" applyBorder="1" applyAlignment="1">
      <alignment/>
    </xf>
    <xf numFmtId="166" fontId="47" fillId="0" borderId="12" xfId="0" applyNumberFormat="1" applyFont="1" applyFill="1" applyBorder="1" applyAlignment="1">
      <alignment/>
    </xf>
    <xf numFmtId="0" fontId="11" fillId="0" borderId="30" xfId="0" applyFont="1" applyFill="1" applyBorder="1" applyAlignment="1">
      <alignment/>
    </xf>
    <xf numFmtId="166" fontId="11" fillId="0" borderId="9" xfId="0" applyNumberFormat="1" applyFont="1" applyFill="1" applyBorder="1" applyAlignment="1">
      <alignment/>
    </xf>
    <xf numFmtId="0" fontId="11" fillId="0" borderId="17" xfId="0" applyFont="1" applyFill="1" applyBorder="1" applyAlignment="1">
      <alignment/>
    </xf>
    <xf numFmtId="166" fontId="47" fillId="0" borderId="23" xfId="0" applyNumberFormat="1" applyFont="1" applyFill="1" applyBorder="1" applyAlignment="1">
      <alignment horizontal="right"/>
    </xf>
    <xf numFmtId="166" fontId="11" fillId="0" borderId="23" xfId="0" applyNumberFormat="1" applyFont="1" applyFill="1" applyBorder="1" applyAlignment="1">
      <alignment horizontal="right"/>
    </xf>
    <xf numFmtId="166" fontId="11" fillId="0" borderId="23" xfId="0" applyNumberFormat="1" applyFont="1" applyFill="1" applyBorder="1" applyAlignment="1">
      <alignment/>
    </xf>
    <xf numFmtId="166" fontId="47" fillId="0" borderId="73" xfId="0" applyNumberFormat="1" applyFont="1" applyFill="1" applyBorder="1" applyAlignment="1">
      <alignment horizontal="right"/>
    </xf>
    <xf numFmtId="166" fontId="11" fillId="0" borderId="83" xfId="0" applyNumberFormat="1" applyFont="1" applyFill="1" applyBorder="1" applyAlignment="1">
      <alignment/>
    </xf>
    <xf numFmtId="166" fontId="11" fillId="0" borderId="83" xfId="0" applyNumberFormat="1" applyFont="1" applyBorder="1" applyAlignment="1">
      <alignment/>
    </xf>
    <xf numFmtId="170" fontId="1" fillId="0" borderId="38" xfId="42" applyNumberFormat="1" applyFont="1" applyFill="1" applyBorder="1" applyAlignment="1">
      <alignment/>
    </xf>
    <xf numFmtId="170" fontId="1" fillId="0" borderId="41" xfId="0" applyNumberFormat="1" applyFont="1" applyFill="1" applyBorder="1" applyAlignment="1">
      <alignment/>
    </xf>
    <xf numFmtId="170" fontId="2" fillId="0" borderId="39" xfId="42" applyNumberFormat="1" applyFont="1" applyFill="1" applyBorder="1" applyAlignment="1">
      <alignment horizontal="center"/>
    </xf>
    <xf numFmtId="170" fontId="1" fillId="0" borderId="37" xfId="0" applyNumberFormat="1" applyFont="1" applyFill="1" applyBorder="1" applyAlignment="1">
      <alignment/>
    </xf>
    <xf numFmtId="170" fontId="2" fillId="0" borderId="57" xfId="0" applyNumberFormat="1" applyFont="1" applyFill="1" applyBorder="1" applyAlignment="1">
      <alignment horizontal="center"/>
    </xf>
    <xf numFmtId="170" fontId="1" fillId="0" borderId="54" xfId="0" applyNumberFormat="1" applyFont="1" applyFill="1" applyBorder="1" applyAlignment="1">
      <alignment/>
    </xf>
    <xf numFmtId="170" fontId="1" fillId="0" borderId="40" xfId="0" applyNumberFormat="1" applyFont="1" applyFill="1" applyBorder="1" applyAlignment="1">
      <alignment/>
    </xf>
    <xf numFmtId="170" fontId="2" fillId="0" borderId="59" xfId="0" applyNumberFormat="1" applyFont="1" applyFill="1" applyBorder="1" applyAlignment="1">
      <alignment horizontal="center"/>
    </xf>
    <xf numFmtId="170" fontId="2" fillId="0" borderId="94" xfId="0" applyNumberFormat="1" applyFont="1" applyFill="1" applyBorder="1" applyAlignment="1">
      <alignment horizontal="center"/>
    </xf>
    <xf numFmtId="170" fontId="1" fillId="0" borderId="58" xfId="42" applyNumberFormat="1" applyFont="1" applyFill="1" applyBorder="1" applyAlignment="1">
      <alignment/>
    </xf>
    <xf numFmtId="170" fontId="2" fillId="0" borderId="38" xfId="42" applyNumberFormat="1" applyFont="1" applyFill="1" applyBorder="1" applyAlignment="1">
      <alignment horizontal="center"/>
    </xf>
    <xf numFmtId="170" fontId="2" fillId="0" borderId="56" xfId="0" applyNumberFormat="1" applyFont="1" applyFill="1" applyBorder="1" applyAlignment="1">
      <alignment horizontal="center"/>
    </xf>
    <xf numFmtId="170" fontId="1" fillId="0" borderId="53" xfId="0" applyNumberFormat="1" applyFont="1" applyFill="1" applyBorder="1" applyAlignment="1">
      <alignment/>
    </xf>
    <xf numFmtId="170" fontId="1" fillId="0" borderId="28" xfId="0" applyNumberFormat="1" applyFont="1" applyFill="1" applyBorder="1" applyAlignment="1">
      <alignment/>
    </xf>
    <xf numFmtId="170" fontId="1" fillId="0" borderId="58" xfId="0" applyNumberFormat="1" applyFont="1" applyFill="1" applyBorder="1" applyAlignment="1">
      <alignment/>
    </xf>
    <xf numFmtId="170" fontId="1" fillId="0" borderId="95" xfId="0" applyNumberFormat="1" applyFont="1" applyFill="1" applyBorder="1" applyAlignment="1">
      <alignment/>
    </xf>
    <xf numFmtId="173" fontId="1" fillId="0" borderId="30" xfId="42" applyNumberFormat="1" applyFont="1" applyFill="1" applyBorder="1" applyAlignment="1">
      <alignment/>
    </xf>
    <xf numFmtId="170" fontId="2" fillId="0" borderId="41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/>
    </xf>
    <xf numFmtId="170" fontId="2" fillId="27" borderId="56" xfId="0" applyNumberFormat="1" applyFont="1" applyFill="1" applyBorder="1" applyAlignment="1">
      <alignment horizontal="center" wrapText="1"/>
    </xf>
    <xf numFmtId="170" fontId="1" fillId="27" borderId="37" xfId="0" applyNumberFormat="1" applyFont="1" applyFill="1" applyBorder="1" applyAlignment="1">
      <alignment/>
    </xf>
    <xf numFmtId="170" fontId="2" fillId="27" borderId="28" xfId="0" applyNumberFormat="1" applyFont="1" applyFill="1" applyBorder="1" applyAlignment="1">
      <alignment horizontal="center" wrapText="1"/>
    </xf>
    <xf numFmtId="170" fontId="2" fillId="27" borderId="58" xfId="0" applyNumberFormat="1" applyFont="1" applyFill="1" applyBorder="1" applyAlignment="1">
      <alignment horizontal="center"/>
    </xf>
    <xf numFmtId="170" fontId="2" fillId="27" borderId="95" xfId="0" applyNumberFormat="1" applyFont="1" applyFill="1" applyBorder="1" applyAlignment="1">
      <alignment horizontal="center"/>
    </xf>
    <xf numFmtId="170" fontId="2" fillId="0" borderId="60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170" fontId="2" fillId="0" borderId="29" xfId="42" applyNumberFormat="1" applyFont="1" applyFill="1" applyBorder="1" applyAlignment="1">
      <alignment/>
    </xf>
    <xf numFmtId="170" fontId="2" fillId="0" borderId="36" xfId="42" applyNumberFormat="1" applyFont="1" applyFill="1" applyBorder="1" applyAlignment="1">
      <alignment horizontal="center" wrapText="1"/>
    </xf>
    <xf numFmtId="170" fontId="2" fillId="0" borderId="38" xfId="42" applyNumberFormat="1" applyFont="1" applyFill="1" applyBorder="1" applyAlignment="1">
      <alignment horizontal="center" wrapText="1"/>
    </xf>
    <xf numFmtId="170" fontId="1" fillId="0" borderId="44" xfId="42" applyNumberFormat="1" applyFont="1" applyFill="1" applyBorder="1" applyAlignment="1">
      <alignment/>
    </xf>
    <xf numFmtId="170" fontId="1" fillId="0" borderId="33" xfId="42" applyNumberFormat="1" applyFont="1" applyBorder="1" applyAlignment="1">
      <alignment/>
    </xf>
    <xf numFmtId="170" fontId="1" fillId="0" borderId="31" xfId="42" applyNumberFormat="1" applyFont="1" applyBorder="1" applyAlignment="1">
      <alignment/>
    </xf>
    <xf numFmtId="170" fontId="1" fillId="0" borderId="50" xfId="0" applyNumberFormat="1" applyFont="1" applyBorder="1" applyAlignment="1">
      <alignment/>
    </xf>
    <xf numFmtId="170" fontId="1" fillId="0" borderId="33" xfId="0" applyNumberFormat="1" applyFont="1" applyFill="1" applyBorder="1" applyAlignment="1">
      <alignment/>
    </xf>
    <xf numFmtId="170" fontId="1" fillId="0" borderId="31" xfId="0" applyNumberFormat="1" applyFont="1" applyBorder="1" applyAlignment="1">
      <alignment/>
    </xf>
    <xf numFmtId="170" fontId="1" fillId="0" borderId="65" xfId="0" applyNumberFormat="1" applyFont="1" applyBorder="1" applyAlignment="1">
      <alignment/>
    </xf>
    <xf numFmtId="170" fontId="2" fillId="0" borderId="33" xfId="42" applyNumberFormat="1" applyFont="1" applyBorder="1" applyAlignment="1">
      <alignment/>
    </xf>
    <xf numFmtId="170" fontId="2" fillId="0" borderId="31" xfId="42" applyNumberFormat="1" applyFont="1" applyBorder="1" applyAlignment="1">
      <alignment/>
    </xf>
    <xf numFmtId="170" fontId="2" fillId="0" borderId="33" xfId="0" applyNumberFormat="1" applyFont="1" applyFill="1" applyBorder="1" applyAlignment="1">
      <alignment/>
    </xf>
    <xf numFmtId="170" fontId="1" fillId="0" borderId="46" xfId="0" applyNumberFormat="1" applyFont="1" applyFill="1" applyBorder="1" applyAlignment="1">
      <alignment/>
    </xf>
    <xf numFmtId="170" fontId="1" fillId="0" borderId="34" xfId="0" applyNumberFormat="1" applyFont="1" applyBorder="1" applyAlignment="1">
      <alignment/>
    </xf>
    <xf numFmtId="170" fontId="1" fillId="0" borderId="61" xfId="0" applyNumberFormat="1" applyFont="1" applyBorder="1" applyAlignment="1">
      <alignment/>
    </xf>
    <xf numFmtId="170" fontId="1" fillId="0" borderId="51" xfId="0" applyNumberFormat="1" applyFont="1" applyBorder="1" applyAlignment="1">
      <alignment/>
    </xf>
    <xf numFmtId="170" fontId="1" fillId="0" borderId="96" xfId="0" applyNumberFormat="1" applyFont="1" applyBorder="1" applyAlignment="1">
      <alignment/>
    </xf>
    <xf numFmtId="170" fontId="2" fillId="0" borderId="97" xfId="42" applyNumberFormat="1" applyFont="1" applyBorder="1" applyAlignment="1">
      <alignment/>
    </xf>
    <xf numFmtId="170" fontId="2" fillId="0" borderId="98" xfId="42" applyNumberFormat="1" applyFont="1" applyBorder="1" applyAlignment="1">
      <alignment/>
    </xf>
    <xf numFmtId="170" fontId="1" fillId="0" borderId="99" xfId="0" applyNumberFormat="1" applyFont="1" applyBorder="1" applyAlignment="1">
      <alignment/>
    </xf>
    <xf numFmtId="170" fontId="2" fillId="0" borderId="52" xfId="0" applyNumberFormat="1" applyFont="1" applyBorder="1" applyAlignment="1">
      <alignment/>
    </xf>
    <xf numFmtId="170" fontId="1" fillId="0" borderId="99" xfId="42" applyNumberFormat="1" applyFont="1" applyBorder="1" applyAlignment="1">
      <alignment/>
    </xf>
    <xf numFmtId="170" fontId="2" fillId="0" borderId="97" xfId="0" applyNumberFormat="1" applyFont="1" applyFill="1" applyBorder="1" applyAlignment="1">
      <alignment/>
    </xf>
    <xf numFmtId="170" fontId="2" fillId="0" borderId="58" xfId="42" applyNumberFormat="1" applyFont="1" applyFill="1" applyBorder="1" applyAlignment="1">
      <alignment horizontal="center" wrapText="1"/>
    </xf>
    <xf numFmtId="170" fontId="2" fillId="0" borderId="11" xfId="42" applyNumberFormat="1" applyFont="1" applyFill="1" applyBorder="1" applyAlignment="1">
      <alignment horizontal="center"/>
    </xf>
    <xf numFmtId="170" fontId="2" fillId="0" borderId="11" xfId="0" applyNumberFormat="1" applyFont="1" applyFill="1" applyBorder="1" applyAlignment="1">
      <alignment horizontal="center"/>
    </xf>
    <xf numFmtId="170" fontId="2" fillId="0" borderId="95" xfId="0" applyNumberFormat="1" applyFont="1" applyFill="1" applyBorder="1" applyAlignment="1">
      <alignment horizontal="center"/>
    </xf>
    <xf numFmtId="170" fontId="2" fillId="0" borderId="28" xfId="0" applyNumberFormat="1" applyFont="1" applyFill="1" applyBorder="1" applyAlignment="1">
      <alignment horizontal="center"/>
    </xf>
    <xf numFmtId="170" fontId="11" fillId="24" borderId="0" xfId="60" applyNumberFormat="1" applyFont="1" applyBorder="1">
      <alignment horizontal="right"/>
      <protection/>
    </xf>
    <xf numFmtId="170" fontId="2" fillId="0" borderId="30" xfId="42" applyNumberFormat="1" applyFont="1" applyFill="1" applyBorder="1" applyAlignment="1">
      <alignment horizontal="center"/>
    </xf>
    <xf numFmtId="170" fontId="1" fillId="0" borderId="64" xfId="42" applyNumberFormat="1" applyFont="1" applyBorder="1" applyAlignment="1">
      <alignment/>
    </xf>
    <xf numFmtId="3" fontId="47" fillId="0" borderId="100" xfId="0" applyNumberFormat="1" applyFont="1" applyBorder="1" applyAlignment="1">
      <alignment horizontal="center"/>
    </xf>
    <xf numFmtId="170" fontId="7" fillId="0" borderId="0" xfId="42" applyNumberFormat="1" applyFont="1" applyAlignment="1">
      <alignment horizontal="center"/>
    </xf>
    <xf numFmtId="170" fontId="2" fillId="0" borderId="101" xfId="42" applyNumberFormat="1" applyFont="1" applyBorder="1" applyAlignment="1">
      <alignment horizontal="center"/>
    </xf>
    <xf numFmtId="0" fontId="16" fillId="0" borderId="102" xfId="0" applyFont="1" applyBorder="1" applyAlignment="1">
      <alignment horizontal="center"/>
    </xf>
    <xf numFmtId="0" fontId="16" fillId="0" borderId="103" xfId="0" applyFont="1" applyBorder="1" applyAlignment="1">
      <alignment horizontal="center"/>
    </xf>
    <xf numFmtId="170" fontId="2" fillId="0" borderId="102" xfId="0" applyNumberFormat="1" applyFont="1" applyBorder="1" applyAlignment="1">
      <alignment horizontal="center"/>
    </xf>
    <xf numFmtId="170" fontId="2" fillId="0" borderId="103" xfId="0" applyNumberFormat="1" applyFont="1" applyBorder="1" applyAlignment="1">
      <alignment horizontal="center"/>
    </xf>
    <xf numFmtId="170" fontId="2" fillId="0" borderId="49" xfId="0" applyNumberFormat="1" applyFont="1" applyBorder="1" applyAlignment="1">
      <alignment horizontal="center" wrapText="1"/>
    </xf>
    <xf numFmtId="0" fontId="0" fillId="0" borderId="48" xfId="0" applyBorder="1" applyAlignment="1">
      <alignment/>
    </xf>
    <xf numFmtId="170" fontId="2" fillId="0" borderId="63" xfId="0" applyNumberFormat="1" applyFont="1" applyBorder="1" applyAlignment="1">
      <alignment horizontal="center" wrapText="1"/>
    </xf>
    <xf numFmtId="0" fontId="0" fillId="0" borderId="64" xfId="0" applyBorder="1" applyAlignment="1">
      <alignment/>
    </xf>
    <xf numFmtId="170" fontId="2" fillId="0" borderId="0" xfId="42" applyNumberFormat="1" applyFont="1" applyAlignment="1">
      <alignment horizontal="center"/>
    </xf>
    <xf numFmtId="170" fontId="20" fillId="0" borderId="102" xfId="0" applyNumberFormat="1" applyFont="1" applyBorder="1" applyAlignment="1">
      <alignment horizontal="center"/>
    </xf>
    <xf numFmtId="170" fontId="20" fillId="0" borderId="103" xfId="0" applyNumberFormat="1" applyFont="1" applyBorder="1" applyAlignment="1">
      <alignment horizontal="center"/>
    </xf>
    <xf numFmtId="170" fontId="2" fillId="0" borderId="101" xfId="0" applyNumberFormat="1" applyFont="1" applyFill="1" applyBorder="1" applyAlignment="1">
      <alignment horizontal="center"/>
    </xf>
    <xf numFmtId="170" fontId="2" fillId="0" borderId="102" xfId="0" applyNumberFormat="1" applyFont="1" applyFill="1" applyBorder="1" applyAlignment="1">
      <alignment horizontal="center"/>
    </xf>
    <xf numFmtId="170" fontId="2" fillId="0" borderId="103" xfId="0" applyNumberFormat="1" applyFont="1" applyFill="1" applyBorder="1" applyAlignment="1">
      <alignment horizontal="center"/>
    </xf>
    <xf numFmtId="170" fontId="21" fillId="0" borderId="48" xfId="0" applyNumberFormat="1" applyFont="1" applyBorder="1" applyAlignment="1">
      <alignment/>
    </xf>
    <xf numFmtId="170" fontId="7" fillId="0" borderId="0" xfId="42" applyNumberFormat="1" applyFont="1" applyFill="1" applyAlignment="1">
      <alignment horizontal="center"/>
    </xf>
    <xf numFmtId="170" fontId="8" fillId="0" borderId="0" xfId="42" applyNumberFormat="1" applyFont="1" applyFill="1" applyAlignment="1">
      <alignment horizontal="center"/>
    </xf>
    <xf numFmtId="0" fontId="16" fillId="0" borderId="102" xfId="0" applyFont="1" applyFill="1" applyBorder="1" applyAlignment="1">
      <alignment horizontal="center"/>
    </xf>
    <xf numFmtId="0" fontId="16" fillId="0" borderId="104" xfId="0" applyFont="1" applyFill="1" applyBorder="1" applyAlignment="1">
      <alignment horizontal="center"/>
    </xf>
    <xf numFmtId="170" fontId="2" fillId="0" borderId="105" xfId="42" applyNumberFormat="1" applyFont="1" applyFill="1" applyBorder="1" applyAlignment="1">
      <alignment horizontal="center"/>
    </xf>
    <xf numFmtId="0" fontId="0" fillId="0" borderId="102" xfId="0" applyFill="1" applyBorder="1" applyAlignment="1">
      <alignment horizontal="center"/>
    </xf>
    <xf numFmtId="0" fontId="0" fillId="0" borderId="103" xfId="0" applyFill="1" applyBorder="1" applyAlignment="1">
      <alignment horizontal="center"/>
    </xf>
    <xf numFmtId="170" fontId="7" fillId="0" borderId="0" xfId="42" applyNumberFormat="1" applyFont="1" applyAlignment="1">
      <alignment/>
    </xf>
    <xf numFmtId="0" fontId="8" fillId="0" borderId="0" xfId="0" applyFont="1" applyAlignment="1">
      <alignment/>
    </xf>
    <xf numFmtId="170" fontId="13" fillId="0" borderId="0" xfId="0" applyNumberFormat="1" applyFont="1" applyAlignment="1">
      <alignment horizontal="center"/>
    </xf>
    <xf numFmtId="170" fontId="14" fillId="0" borderId="0" xfId="0" applyNumberFormat="1" applyFont="1" applyAlignment="1">
      <alignment horizontal="center"/>
    </xf>
    <xf numFmtId="170" fontId="11" fillId="0" borderId="0" xfId="0" applyNumberFormat="1" applyFont="1" applyFill="1" applyBorder="1" applyAlignment="1">
      <alignment horizontal="left" wrapText="1"/>
    </xf>
  </cellXfs>
  <cellStyles count="6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~An21" xfId="57"/>
    <cellStyle name="Note" xfId="58"/>
    <cellStyle name="Output" xfId="59"/>
    <cellStyle name="Output Amounts" xfId="60"/>
    <cellStyle name="Output Column Headings" xfId="61"/>
    <cellStyle name="Output Line Items" xfId="62"/>
    <cellStyle name="Output Report Heading" xfId="63"/>
    <cellStyle name="Output Report Title" xfId="64"/>
    <cellStyle name="Percen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39</xdr:row>
      <xdr:rowOff>19050</xdr:rowOff>
    </xdr:from>
    <xdr:to>
      <xdr:col>25</xdr:col>
      <xdr:colOff>0</xdr:colOff>
      <xdr:row>39</xdr:row>
      <xdr:rowOff>19050</xdr:rowOff>
    </xdr:to>
    <xdr:sp>
      <xdr:nvSpPr>
        <xdr:cNvPr id="1" name="Line 1"/>
        <xdr:cNvSpPr>
          <a:spLocks/>
        </xdr:cNvSpPr>
      </xdr:nvSpPr>
      <xdr:spPr>
        <a:xfrm>
          <a:off x="9982200" y="9315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43</xdr:row>
      <xdr:rowOff>19050</xdr:rowOff>
    </xdr:from>
    <xdr:to>
      <xdr:col>25</xdr:col>
      <xdr:colOff>0</xdr:colOff>
      <xdr:row>43</xdr:row>
      <xdr:rowOff>19050</xdr:rowOff>
    </xdr:to>
    <xdr:sp>
      <xdr:nvSpPr>
        <xdr:cNvPr id="2" name="Line 2"/>
        <xdr:cNvSpPr>
          <a:spLocks/>
        </xdr:cNvSpPr>
      </xdr:nvSpPr>
      <xdr:spPr>
        <a:xfrm>
          <a:off x="9982200" y="10001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46</xdr:row>
      <xdr:rowOff>0</xdr:rowOff>
    </xdr:from>
    <xdr:to>
      <xdr:col>25</xdr:col>
      <xdr:colOff>0</xdr:colOff>
      <xdr:row>46</xdr:row>
      <xdr:rowOff>0</xdr:rowOff>
    </xdr:to>
    <xdr:sp>
      <xdr:nvSpPr>
        <xdr:cNvPr id="3" name="Line 3"/>
        <xdr:cNvSpPr>
          <a:spLocks/>
        </xdr:cNvSpPr>
      </xdr:nvSpPr>
      <xdr:spPr>
        <a:xfrm>
          <a:off x="9982200" y="10668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55</xdr:row>
      <xdr:rowOff>19050</xdr:rowOff>
    </xdr:from>
    <xdr:to>
      <xdr:col>25</xdr:col>
      <xdr:colOff>0</xdr:colOff>
      <xdr:row>55</xdr:row>
      <xdr:rowOff>19050</xdr:rowOff>
    </xdr:to>
    <xdr:sp>
      <xdr:nvSpPr>
        <xdr:cNvPr id="4" name="Line 4"/>
        <xdr:cNvSpPr>
          <a:spLocks/>
        </xdr:cNvSpPr>
      </xdr:nvSpPr>
      <xdr:spPr>
        <a:xfrm>
          <a:off x="9982200" y="12753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41</xdr:row>
      <xdr:rowOff>28575</xdr:rowOff>
    </xdr:from>
    <xdr:to>
      <xdr:col>25</xdr:col>
      <xdr:colOff>0</xdr:colOff>
      <xdr:row>41</xdr:row>
      <xdr:rowOff>28575</xdr:rowOff>
    </xdr:to>
    <xdr:sp>
      <xdr:nvSpPr>
        <xdr:cNvPr id="5" name="Line 5"/>
        <xdr:cNvSpPr>
          <a:spLocks/>
        </xdr:cNvSpPr>
      </xdr:nvSpPr>
      <xdr:spPr>
        <a:xfrm>
          <a:off x="9982200" y="9753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41</xdr:row>
      <xdr:rowOff>47625</xdr:rowOff>
    </xdr:from>
    <xdr:to>
      <xdr:col>25</xdr:col>
      <xdr:colOff>0</xdr:colOff>
      <xdr:row>41</xdr:row>
      <xdr:rowOff>47625</xdr:rowOff>
    </xdr:to>
    <xdr:sp>
      <xdr:nvSpPr>
        <xdr:cNvPr id="6" name="Line 6"/>
        <xdr:cNvSpPr>
          <a:spLocks/>
        </xdr:cNvSpPr>
      </xdr:nvSpPr>
      <xdr:spPr>
        <a:xfrm>
          <a:off x="9982200" y="9753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45</xdr:row>
      <xdr:rowOff>28575</xdr:rowOff>
    </xdr:from>
    <xdr:to>
      <xdr:col>25</xdr:col>
      <xdr:colOff>0</xdr:colOff>
      <xdr:row>45</xdr:row>
      <xdr:rowOff>28575</xdr:rowOff>
    </xdr:to>
    <xdr:sp>
      <xdr:nvSpPr>
        <xdr:cNvPr id="7" name="Line 7"/>
        <xdr:cNvSpPr>
          <a:spLocks/>
        </xdr:cNvSpPr>
      </xdr:nvSpPr>
      <xdr:spPr>
        <a:xfrm>
          <a:off x="9982200" y="10467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45</xdr:row>
      <xdr:rowOff>47625</xdr:rowOff>
    </xdr:from>
    <xdr:to>
      <xdr:col>25</xdr:col>
      <xdr:colOff>0</xdr:colOff>
      <xdr:row>45</xdr:row>
      <xdr:rowOff>47625</xdr:rowOff>
    </xdr:to>
    <xdr:sp>
      <xdr:nvSpPr>
        <xdr:cNvPr id="8" name="Line 8"/>
        <xdr:cNvSpPr>
          <a:spLocks/>
        </xdr:cNvSpPr>
      </xdr:nvSpPr>
      <xdr:spPr>
        <a:xfrm>
          <a:off x="9982200" y="10487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47</xdr:row>
      <xdr:rowOff>28575</xdr:rowOff>
    </xdr:from>
    <xdr:to>
      <xdr:col>25</xdr:col>
      <xdr:colOff>0</xdr:colOff>
      <xdr:row>47</xdr:row>
      <xdr:rowOff>28575</xdr:rowOff>
    </xdr:to>
    <xdr:sp>
      <xdr:nvSpPr>
        <xdr:cNvPr id="9" name="Line 9"/>
        <xdr:cNvSpPr>
          <a:spLocks/>
        </xdr:cNvSpPr>
      </xdr:nvSpPr>
      <xdr:spPr>
        <a:xfrm>
          <a:off x="9982200" y="10925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47</xdr:row>
      <xdr:rowOff>47625</xdr:rowOff>
    </xdr:from>
    <xdr:to>
      <xdr:col>25</xdr:col>
      <xdr:colOff>0</xdr:colOff>
      <xdr:row>47</xdr:row>
      <xdr:rowOff>47625</xdr:rowOff>
    </xdr:to>
    <xdr:sp>
      <xdr:nvSpPr>
        <xdr:cNvPr id="10" name="Line 10"/>
        <xdr:cNvSpPr>
          <a:spLocks/>
        </xdr:cNvSpPr>
      </xdr:nvSpPr>
      <xdr:spPr>
        <a:xfrm>
          <a:off x="9982200" y="10944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39</xdr:row>
      <xdr:rowOff>19050</xdr:rowOff>
    </xdr:from>
    <xdr:to>
      <xdr:col>25</xdr:col>
      <xdr:colOff>0</xdr:colOff>
      <xdr:row>39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9982200" y="9315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43</xdr:row>
      <xdr:rowOff>19050</xdr:rowOff>
    </xdr:from>
    <xdr:to>
      <xdr:col>25</xdr:col>
      <xdr:colOff>0</xdr:colOff>
      <xdr:row>43</xdr:row>
      <xdr:rowOff>19050</xdr:rowOff>
    </xdr:to>
    <xdr:sp>
      <xdr:nvSpPr>
        <xdr:cNvPr id="12" name="Line 12"/>
        <xdr:cNvSpPr>
          <a:spLocks/>
        </xdr:cNvSpPr>
      </xdr:nvSpPr>
      <xdr:spPr>
        <a:xfrm>
          <a:off x="9982200" y="10001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46</xdr:row>
      <xdr:rowOff>0</xdr:rowOff>
    </xdr:from>
    <xdr:to>
      <xdr:col>25</xdr:col>
      <xdr:colOff>0</xdr:colOff>
      <xdr:row>46</xdr:row>
      <xdr:rowOff>0</xdr:rowOff>
    </xdr:to>
    <xdr:sp>
      <xdr:nvSpPr>
        <xdr:cNvPr id="13" name="Line 13"/>
        <xdr:cNvSpPr>
          <a:spLocks/>
        </xdr:cNvSpPr>
      </xdr:nvSpPr>
      <xdr:spPr>
        <a:xfrm>
          <a:off x="9982200" y="10668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55</xdr:row>
      <xdr:rowOff>19050</xdr:rowOff>
    </xdr:from>
    <xdr:to>
      <xdr:col>25</xdr:col>
      <xdr:colOff>0</xdr:colOff>
      <xdr:row>55</xdr:row>
      <xdr:rowOff>19050</xdr:rowOff>
    </xdr:to>
    <xdr:sp>
      <xdr:nvSpPr>
        <xdr:cNvPr id="14" name="Line 14"/>
        <xdr:cNvSpPr>
          <a:spLocks/>
        </xdr:cNvSpPr>
      </xdr:nvSpPr>
      <xdr:spPr>
        <a:xfrm>
          <a:off x="9982200" y="12753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41</xdr:row>
      <xdr:rowOff>28575</xdr:rowOff>
    </xdr:from>
    <xdr:to>
      <xdr:col>25</xdr:col>
      <xdr:colOff>0</xdr:colOff>
      <xdr:row>41</xdr:row>
      <xdr:rowOff>28575</xdr:rowOff>
    </xdr:to>
    <xdr:sp>
      <xdr:nvSpPr>
        <xdr:cNvPr id="15" name="Line 15"/>
        <xdr:cNvSpPr>
          <a:spLocks/>
        </xdr:cNvSpPr>
      </xdr:nvSpPr>
      <xdr:spPr>
        <a:xfrm>
          <a:off x="9982200" y="9753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41</xdr:row>
      <xdr:rowOff>47625</xdr:rowOff>
    </xdr:from>
    <xdr:to>
      <xdr:col>25</xdr:col>
      <xdr:colOff>0</xdr:colOff>
      <xdr:row>41</xdr:row>
      <xdr:rowOff>47625</xdr:rowOff>
    </xdr:to>
    <xdr:sp>
      <xdr:nvSpPr>
        <xdr:cNvPr id="16" name="Line 16"/>
        <xdr:cNvSpPr>
          <a:spLocks/>
        </xdr:cNvSpPr>
      </xdr:nvSpPr>
      <xdr:spPr>
        <a:xfrm>
          <a:off x="9982200" y="9753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45</xdr:row>
      <xdr:rowOff>28575</xdr:rowOff>
    </xdr:from>
    <xdr:to>
      <xdr:col>25</xdr:col>
      <xdr:colOff>0</xdr:colOff>
      <xdr:row>45</xdr:row>
      <xdr:rowOff>28575</xdr:rowOff>
    </xdr:to>
    <xdr:sp>
      <xdr:nvSpPr>
        <xdr:cNvPr id="17" name="Line 17"/>
        <xdr:cNvSpPr>
          <a:spLocks/>
        </xdr:cNvSpPr>
      </xdr:nvSpPr>
      <xdr:spPr>
        <a:xfrm>
          <a:off x="9982200" y="10467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45</xdr:row>
      <xdr:rowOff>47625</xdr:rowOff>
    </xdr:from>
    <xdr:to>
      <xdr:col>25</xdr:col>
      <xdr:colOff>0</xdr:colOff>
      <xdr:row>45</xdr:row>
      <xdr:rowOff>47625</xdr:rowOff>
    </xdr:to>
    <xdr:sp>
      <xdr:nvSpPr>
        <xdr:cNvPr id="18" name="Line 18"/>
        <xdr:cNvSpPr>
          <a:spLocks/>
        </xdr:cNvSpPr>
      </xdr:nvSpPr>
      <xdr:spPr>
        <a:xfrm>
          <a:off x="9982200" y="10487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47</xdr:row>
      <xdr:rowOff>28575</xdr:rowOff>
    </xdr:from>
    <xdr:to>
      <xdr:col>25</xdr:col>
      <xdr:colOff>0</xdr:colOff>
      <xdr:row>47</xdr:row>
      <xdr:rowOff>28575</xdr:rowOff>
    </xdr:to>
    <xdr:sp>
      <xdr:nvSpPr>
        <xdr:cNvPr id="19" name="Line 19"/>
        <xdr:cNvSpPr>
          <a:spLocks/>
        </xdr:cNvSpPr>
      </xdr:nvSpPr>
      <xdr:spPr>
        <a:xfrm>
          <a:off x="9982200" y="10925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47</xdr:row>
      <xdr:rowOff>47625</xdr:rowOff>
    </xdr:from>
    <xdr:to>
      <xdr:col>25</xdr:col>
      <xdr:colOff>0</xdr:colOff>
      <xdr:row>47</xdr:row>
      <xdr:rowOff>47625</xdr:rowOff>
    </xdr:to>
    <xdr:sp>
      <xdr:nvSpPr>
        <xdr:cNvPr id="20" name="Line 20"/>
        <xdr:cNvSpPr>
          <a:spLocks/>
        </xdr:cNvSpPr>
      </xdr:nvSpPr>
      <xdr:spPr>
        <a:xfrm>
          <a:off x="9982200" y="10944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80"/>
  <sheetViews>
    <sheetView showOutlineSymbols="0" workbookViewId="0" topLeftCell="D1">
      <selection activeCell="J76" sqref="J76"/>
    </sheetView>
  </sheetViews>
  <sheetFormatPr defaultColWidth="9.140625" defaultRowHeight="12.75" customHeight="1"/>
  <cols>
    <col min="1" max="1" width="16.28125" style="1" customWidth="1"/>
    <col min="2" max="2" width="9.28125" style="1" customWidth="1"/>
    <col min="3" max="3" width="9.57421875" style="1" customWidth="1"/>
    <col min="4" max="4" width="8.421875" style="1" customWidth="1"/>
    <col min="5" max="5" width="13.140625" style="1" customWidth="1"/>
    <col min="6" max="6" width="11.140625" style="1" customWidth="1"/>
    <col min="7" max="7" width="13.8515625" style="1" customWidth="1"/>
    <col min="8" max="9" width="12.421875" style="1" customWidth="1"/>
    <col min="10" max="10" width="13.7109375" style="1" customWidth="1"/>
    <col min="11" max="16384" width="6.8515625" style="1" customWidth="1"/>
  </cols>
  <sheetData>
    <row r="1" spans="1:10" ht="12.7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  <c r="H1" t="s">
        <v>17</v>
      </c>
      <c r="I1" t="s">
        <v>18</v>
      </c>
      <c r="J1"/>
    </row>
    <row r="2" spans="1:10" ht="12.75">
      <c r="A2" t="s">
        <v>8</v>
      </c>
      <c r="B2"/>
      <c r="C2"/>
      <c r="D2"/>
      <c r="E2"/>
      <c r="F2"/>
      <c r="G2"/>
      <c r="H2"/>
      <c r="I2"/>
      <c r="J2"/>
    </row>
    <row r="3" spans="1:10" ht="12.75">
      <c r="A3" t="s">
        <v>8</v>
      </c>
      <c r="B3"/>
      <c r="C3"/>
      <c r="D3"/>
      <c r="E3"/>
      <c r="F3"/>
      <c r="G3"/>
      <c r="H3"/>
      <c r="I3"/>
      <c r="J3"/>
    </row>
    <row r="4" spans="1:10" ht="12.75">
      <c r="A4" t="s">
        <v>19</v>
      </c>
      <c r="B4" s="4">
        <v>0</v>
      </c>
      <c r="C4" s="4">
        <v>0</v>
      </c>
      <c r="D4" s="4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</row>
    <row r="5" spans="1:10" ht="12.75">
      <c r="A5" t="s">
        <v>20</v>
      </c>
      <c r="B5" s="4">
        <v>0</v>
      </c>
      <c r="C5" s="4">
        <v>0</v>
      </c>
      <c r="D5" s="4">
        <v>0</v>
      </c>
      <c r="E5" s="5">
        <v>-164366975</v>
      </c>
      <c r="F5" s="5">
        <v>-13572244</v>
      </c>
      <c r="G5" s="5">
        <v>-14062150.84</v>
      </c>
      <c r="H5" s="5">
        <v>-68507048</v>
      </c>
      <c r="I5" s="5">
        <v>-68869879.32000001</v>
      </c>
      <c r="J5" s="5">
        <v>362831.32</v>
      </c>
    </row>
    <row r="6" spans="1:10" ht="12.75">
      <c r="A6" t="s">
        <v>21</v>
      </c>
      <c r="B6" s="4">
        <v>0</v>
      </c>
      <c r="C6" s="4">
        <v>0</v>
      </c>
      <c r="D6" s="4">
        <v>0</v>
      </c>
      <c r="E6" s="5">
        <v>-164366975</v>
      </c>
      <c r="F6" s="5">
        <v>-13572244</v>
      </c>
      <c r="G6" s="5">
        <v>-14062150.84</v>
      </c>
      <c r="H6" s="5">
        <v>-68507048</v>
      </c>
      <c r="I6" s="5">
        <v>-68869879.32000001</v>
      </c>
      <c r="J6" s="5">
        <v>362831.32</v>
      </c>
    </row>
    <row r="7" spans="1:10" ht="12.75">
      <c r="A7" t="s">
        <v>22</v>
      </c>
      <c r="B7" s="4">
        <v>0</v>
      </c>
      <c r="C7" s="4">
        <v>0</v>
      </c>
      <c r="D7" s="4">
        <v>0</v>
      </c>
      <c r="E7" s="5">
        <v>-164366975</v>
      </c>
      <c r="F7" s="5">
        <v>-13572244</v>
      </c>
      <c r="G7" s="5">
        <v>-14062150.84</v>
      </c>
      <c r="H7" s="5">
        <v>-68507048</v>
      </c>
      <c r="I7" s="5">
        <v>-68869879.32000001</v>
      </c>
      <c r="J7" s="5">
        <v>362831.32</v>
      </c>
    </row>
    <row r="8" spans="1:10" ht="12.75">
      <c r="A8" t="s">
        <v>23</v>
      </c>
      <c r="B8"/>
      <c r="C8"/>
      <c r="D8"/>
      <c r="E8"/>
      <c r="F8"/>
      <c r="G8"/>
      <c r="H8"/>
      <c r="I8"/>
      <c r="J8"/>
    </row>
    <row r="9" spans="1:10" ht="12.75">
      <c r="A9" t="s">
        <v>24</v>
      </c>
      <c r="B9"/>
      <c r="C9"/>
      <c r="D9"/>
      <c r="E9"/>
      <c r="F9"/>
      <c r="G9"/>
      <c r="H9"/>
      <c r="I9"/>
      <c r="J9"/>
    </row>
    <row r="10" spans="1:10" ht="12.75">
      <c r="A10" t="s">
        <v>25</v>
      </c>
      <c r="B10" s="4">
        <v>286.31</v>
      </c>
      <c r="C10" s="4">
        <v>269.11</v>
      </c>
      <c r="D10" s="4">
        <v>278.68</v>
      </c>
      <c r="E10" s="5">
        <v>9039103</v>
      </c>
      <c r="F10" s="5">
        <v>867126</v>
      </c>
      <c r="G10" s="5">
        <v>817469.92</v>
      </c>
      <c r="H10" s="5">
        <v>3823082</v>
      </c>
      <c r="I10" s="5">
        <v>3720159.67</v>
      </c>
      <c r="J10" s="5">
        <v>102922.33</v>
      </c>
    </row>
    <row r="11" spans="1:10" ht="12.75">
      <c r="A11" t="s">
        <v>19</v>
      </c>
      <c r="B11" s="4">
        <v>0</v>
      </c>
      <c r="C11" s="4">
        <v>0</v>
      </c>
      <c r="D11" s="4">
        <v>0</v>
      </c>
      <c r="E11" s="5">
        <v>1187201</v>
      </c>
      <c r="F11" s="5">
        <v>99326</v>
      </c>
      <c r="G11" s="5">
        <v>94379.1</v>
      </c>
      <c r="H11" s="5">
        <v>512610</v>
      </c>
      <c r="I11" s="5">
        <v>443931.88</v>
      </c>
      <c r="J11" s="5">
        <v>68678.12</v>
      </c>
    </row>
    <row r="12" spans="1:10" ht="12.75">
      <c r="A12" t="s">
        <v>20</v>
      </c>
      <c r="B12" s="4">
        <v>0</v>
      </c>
      <c r="C12" s="4">
        <v>0</v>
      </c>
      <c r="D12" s="4">
        <v>0</v>
      </c>
      <c r="E12" s="5">
        <v>-424924</v>
      </c>
      <c r="F12" s="5">
        <v>-33063</v>
      </c>
      <c r="G12" s="5">
        <v>-38639.6</v>
      </c>
      <c r="H12" s="5">
        <v>-165315</v>
      </c>
      <c r="I12" s="5">
        <v>-175151.6</v>
      </c>
      <c r="J12" s="5">
        <v>9836.6</v>
      </c>
    </row>
    <row r="13" spans="1:10" ht="12.75">
      <c r="A13" t="s">
        <v>26</v>
      </c>
      <c r="B13" s="4">
        <v>286.31</v>
      </c>
      <c r="C13" s="4">
        <v>269.11</v>
      </c>
      <c r="D13" s="4">
        <v>278.68</v>
      </c>
      <c r="E13" s="5">
        <v>9801380</v>
      </c>
      <c r="F13" s="5">
        <v>933389</v>
      </c>
      <c r="G13" s="5">
        <v>873209.42</v>
      </c>
      <c r="H13" s="5">
        <v>4170377</v>
      </c>
      <c r="I13" s="5">
        <v>3988939.95</v>
      </c>
      <c r="J13" s="5">
        <v>181437.05</v>
      </c>
    </row>
    <row r="14" spans="1:10" ht="12.75">
      <c r="A14" t="s">
        <v>27</v>
      </c>
      <c r="B14"/>
      <c r="C14"/>
      <c r="D14"/>
      <c r="E14"/>
      <c r="F14"/>
      <c r="G14"/>
      <c r="H14"/>
      <c r="I14"/>
      <c r="J14"/>
    </row>
    <row r="15" spans="1:10" ht="12.75">
      <c r="A15" t="s">
        <v>25</v>
      </c>
      <c r="B15" s="4">
        <v>0</v>
      </c>
      <c r="C15" s="4">
        <v>0</v>
      </c>
      <c r="D15" s="4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pans="1:10" ht="12.75">
      <c r="A16" t="s">
        <v>19</v>
      </c>
      <c r="B16" s="4">
        <v>0</v>
      </c>
      <c r="C16" s="4">
        <v>0</v>
      </c>
      <c r="D16" s="4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</row>
    <row r="17" spans="1:10" ht="12.75">
      <c r="A17" t="s">
        <v>20</v>
      </c>
      <c r="B17" s="4">
        <v>0</v>
      </c>
      <c r="C17" s="4">
        <v>0</v>
      </c>
      <c r="D17" s="4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</row>
    <row r="18" spans="1:10" ht="12.75">
      <c r="A18" t="s">
        <v>28</v>
      </c>
      <c r="B18" s="4">
        <v>0</v>
      </c>
      <c r="C18" s="4">
        <v>0</v>
      </c>
      <c r="D18" s="4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</row>
    <row r="19" spans="1:10" ht="12.75">
      <c r="A19" t="s">
        <v>23</v>
      </c>
      <c r="B19"/>
      <c r="C19"/>
      <c r="D19"/>
      <c r="E19"/>
      <c r="F19"/>
      <c r="G19"/>
      <c r="H19"/>
      <c r="I19"/>
      <c r="J19"/>
    </row>
    <row r="20" spans="1:10" ht="12.75">
      <c r="A20" t="s">
        <v>25</v>
      </c>
      <c r="B20" s="4">
        <v>120.35</v>
      </c>
      <c r="C20" s="4">
        <v>154.71</v>
      </c>
      <c r="D20" s="4">
        <v>129.28</v>
      </c>
      <c r="E20" s="5">
        <v>4809738</v>
      </c>
      <c r="F20" s="5">
        <v>410824</v>
      </c>
      <c r="G20" s="5">
        <v>444574.82</v>
      </c>
      <c r="H20" s="5">
        <v>2062642</v>
      </c>
      <c r="I20" s="5">
        <v>2236764.06</v>
      </c>
      <c r="J20" s="5">
        <v>-174122.06</v>
      </c>
    </row>
    <row r="21" spans="1:13" ht="12.75">
      <c r="A21" t="s">
        <v>19</v>
      </c>
      <c r="B21" s="4">
        <v>0</v>
      </c>
      <c r="C21" s="4">
        <v>0</v>
      </c>
      <c r="D21" s="4">
        <v>0</v>
      </c>
      <c r="E21" s="5">
        <v>7885492</v>
      </c>
      <c r="F21" s="5">
        <v>657628</v>
      </c>
      <c r="G21" s="5">
        <v>637956.9</v>
      </c>
      <c r="H21" s="5">
        <v>3488771</v>
      </c>
      <c r="I21" s="5">
        <v>3504608.76</v>
      </c>
      <c r="J21" s="5">
        <v>-15837.76</v>
      </c>
      <c r="L21" s="3"/>
      <c r="M21" s="2"/>
    </row>
    <row r="22" spans="1:10" ht="12.75">
      <c r="A22" t="s">
        <v>20</v>
      </c>
      <c r="B22" s="4">
        <v>0</v>
      </c>
      <c r="C22" s="4">
        <v>0</v>
      </c>
      <c r="D22" s="4">
        <v>0</v>
      </c>
      <c r="E22" s="5">
        <v>-8354</v>
      </c>
      <c r="F22" s="5">
        <v>-696</v>
      </c>
      <c r="G22" s="5">
        <v>5358.1</v>
      </c>
      <c r="H22" s="5">
        <v>-3480</v>
      </c>
      <c r="I22" s="5">
        <v>400</v>
      </c>
      <c r="J22" s="5">
        <v>-3880</v>
      </c>
    </row>
    <row r="23" spans="1:10" ht="12.75">
      <c r="A23" t="s">
        <v>29</v>
      </c>
      <c r="B23" s="4">
        <v>120.35</v>
      </c>
      <c r="C23" s="4">
        <v>154.71</v>
      </c>
      <c r="D23" s="4">
        <v>129.28</v>
      </c>
      <c r="E23" s="5">
        <v>12686876</v>
      </c>
      <c r="F23" s="5">
        <v>1067756</v>
      </c>
      <c r="G23" s="5">
        <v>1087889.82</v>
      </c>
      <c r="H23" s="5">
        <v>5547933</v>
      </c>
      <c r="I23" s="5">
        <v>5741772.82</v>
      </c>
      <c r="J23" s="5">
        <v>-193839.82</v>
      </c>
    </row>
    <row r="24" spans="1:10" ht="12.75">
      <c r="A24" t="s">
        <v>30</v>
      </c>
      <c r="B24"/>
      <c r="C24"/>
      <c r="D24"/>
      <c r="E24"/>
      <c r="F24"/>
      <c r="G24"/>
      <c r="H24"/>
      <c r="I24"/>
      <c r="J24"/>
    </row>
    <row r="25" spans="1:10" ht="12.75">
      <c r="A25" t="s">
        <v>25</v>
      </c>
      <c r="B25" s="4">
        <v>240.18</v>
      </c>
      <c r="C25" s="4">
        <v>252.21</v>
      </c>
      <c r="D25" s="4">
        <v>242.12</v>
      </c>
      <c r="E25" s="5">
        <v>7635292</v>
      </c>
      <c r="F25" s="5">
        <v>620627</v>
      </c>
      <c r="G25" s="5">
        <v>652932</v>
      </c>
      <c r="H25" s="5">
        <v>3283033</v>
      </c>
      <c r="I25" s="5">
        <v>3294068.59</v>
      </c>
      <c r="J25" s="5">
        <v>-11035.59</v>
      </c>
    </row>
    <row r="26" spans="1:10" ht="12.75">
      <c r="A26" t="s">
        <v>19</v>
      </c>
      <c r="B26" s="4">
        <v>0</v>
      </c>
      <c r="C26" s="4">
        <v>0</v>
      </c>
      <c r="D26" s="4">
        <v>0</v>
      </c>
      <c r="E26" s="5">
        <v>2253793</v>
      </c>
      <c r="F26" s="5">
        <v>185488</v>
      </c>
      <c r="G26" s="5">
        <v>182089.45</v>
      </c>
      <c r="H26" s="5">
        <v>955450</v>
      </c>
      <c r="I26" s="5">
        <v>1009113.68</v>
      </c>
      <c r="J26" s="5">
        <v>-53663.68</v>
      </c>
    </row>
    <row r="27" spans="1:10" ht="12.75">
      <c r="A27" t="s">
        <v>20</v>
      </c>
      <c r="B27" s="4">
        <v>0</v>
      </c>
      <c r="C27" s="4">
        <v>0</v>
      </c>
      <c r="D27" s="4">
        <v>0</v>
      </c>
      <c r="E27" s="5">
        <v>-2530</v>
      </c>
      <c r="F27" s="5">
        <v>-211</v>
      </c>
      <c r="G27" s="5">
        <v>-335.5</v>
      </c>
      <c r="H27" s="5">
        <v>-1055</v>
      </c>
      <c r="I27" s="5">
        <v>-1222.1</v>
      </c>
      <c r="J27" s="5">
        <v>167.1</v>
      </c>
    </row>
    <row r="28" spans="1:10" ht="12.75">
      <c r="A28" t="s">
        <v>31</v>
      </c>
      <c r="B28" s="4">
        <v>240.18</v>
      </c>
      <c r="C28" s="4">
        <v>252.21</v>
      </c>
      <c r="D28" s="4">
        <v>242.12</v>
      </c>
      <c r="E28" s="5">
        <v>9886555</v>
      </c>
      <c r="F28" s="5">
        <v>805904</v>
      </c>
      <c r="G28" s="5">
        <v>834685.95</v>
      </c>
      <c r="H28" s="5">
        <v>4237428</v>
      </c>
      <c r="I28" s="5">
        <v>4301960.17</v>
      </c>
      <c r="J28" s="5">
        <v>-64532.17</v>
      </c>
    </row>
    <row r="29" spans="1:10" ht="12.75">
      <c r="A29" t="s">
        <v>32</v>
      </c>
      <c r="B29"/>
      <c r="C29"/>
      <c r="D29"/>
      <c r="E29"/>
      <c r="F29"/>
      <c r="G29"/>
      <c r="H29"/>
      <c r="I29"/>
      <c r="J29"/>
    </row>
    <row r="30" spans="1:10" ht="12.75">
      <c r="A30" t="s">
        <v>25</v>
      </c>
      <c r="B30" s="4">
        <v>193.57</v>
      </c>
      <c r="C30" s="4">
        <v>177.17</v>
      </c>
      <c r="D30" s="4">
        <v>190.63</v>
      </c>
      <c r="E30" s="5">
        <v>5070977</v>
      </c>
      <c r="F30" s="5">
        <v>460742</v>
      </c>
      <c r="G30" s="5">
        <v>451993.2</v>
      </c>
      <c r="H30" s="5">
        <v>2229672</v>
      </c>
      <c r="I30" s="5">
        <v>2236864.89</v>
      </c>
      <c r="J30" s="5">
        <v>-7192.89</v>
      </c>
    </row>
    <row r="31" spans="1:10" ht="12.75">
      <c r="A31" t="s">
        <v>19</v>
      </c>
      <c r="B31" s="4">
        <v>0</v>
      </c>
      <c r="C31" s="4">
        <v>0</v>
      </c>
      <c r="D31" s="4">
        <v>0</v>
      </c>
      <c r="E31" s="5">
        <v>606139</v>
      </c>
      <c r="F31" s="5">
        <v>68677</v>
      </c>
      <c r="G31" s="5">
        <v>62881.76</v>
      </c>
      <c r="H31" s="5">
        <v>296583</v>
      </c>
      <c r="I31" s="5">
        <v>286522.44</v>
      </c>
      <c r="J31" s="5">
        <v>10060.56</v>
      </c>
    </row>
    <row r="32" spans="1:10" ht="12.75">
      <c r="A32" t="s">
        <v>20</v>
      </c>
      <c r="B32" s="4">
        <v>0</v>
      </c>
      <c r="C32" s="4">
        <v>0</v>
      </c>
      <c r="D32" s="4">
        <v>0</v>
      </c>
      <c r="E32" s="5">
        <v>-16982</v>
      </c>
      <c r="F32" s="5">
        <v>-1415</v>
      </c>
      <c r="G32" s="5">
        <v>-1321.86</v>
      </c>
      <c r="H32" s="5">
        <v>-7075</v>
      </c>
      <c r="I32" s="5">
        <v>-7074.86</v>
      </c>
      <c r="J32" s="5">
        <v>-0.14</v>
      </c>
    </row>
    <row r="33" spans="1:10" ht="12.75">
      <c r="A33" t="s">
        <v>33</v>
      </c>
      <c r="B33" s="4">
        <v>193.57</v>
      </c>
      <c r="C33" s="4">
        <v>177.17</v>
      </c>
      <c r="D33" s="4">
        <v>190.63</v>
      </c>
      <c r="E33" s="5">
        <v>5660134</v>
      </c>
      <c r="F33" s="5">
        <v>528004</v>
      </c>
      <c r="G33" s="5">
        <v>513553.1</v>
      </c>
      <c r="H33" s="5">
        <v>2519180</v>
      </c>
      <c r="I33" s="5">
        <v>2516312.47</v>
      </c>
      <c r="J33" s="5">
        <v>2867.53</v>
      </c>
    </row>
    <row r="34" spans="1:10" ht="12.75">
      <c r="A34" t="s">
        <v>34</v>
      </c>
      <c r="B34"/>
      <c r="C34"/>
      <c r="D34"/>
      <c r="E34"/>
      <c r="F34"/>
      <c r="G34"/>
      <c r="H34"/>
      <c r="I34"/>
      <c r="J34"/>
    </row>
    <row r="35" spans="1:10" ht="12.75">
      <c r="A35" t="s">
        <v>25</v>
      </c>
      <c r="B35" s="4">
        <v>180.01</v>
      </c>
      <c r="C35" s="4">
        <v>183.02</v>
      </c>
      <c r="D35" s="4">
        <v>183.77</v>
      </c>
      <c r="E35" s="5">
        <v>6116554</v>
      </c>
      <c r="F35" s="5">
        <v>531320</v>
      </c>
      <c r="G35" s="5">
        <v>500625.05</v>
      </c>
      <c r="H35" s="5">
        <v>2545055</v>
      </c>
      <c r="I35" s="5">
        <v>2556010.63</v>
      </c>
      <c r="J35" s="5">
        <v>-10955.63</v>
      </c>
    </row>
    <row r="36" spans="1:10" ht="12.75">
      <c r="A36" t="s">
        <v>19</v>
      </c>
      <c r="B36" s="4">
        <v>0</v>
      </c>
      <c r="C36" s="4">
        <v>0</v>
      </c>
      <c r="D36" s="4">
        <v>0</v>
      </c>
      <c r="E36" s="5">
        <v>2471784</v>
      </c>
      <c r="F36" s="5">
        <v>259276</v>
      </c>
      <c r="G36" s="5">
        <v>280733.95</v>
      </c>
      <c r="H36" s="5">
        <v>1186409</v>
      </c>
      <c r="I36" s="5">
        <v>1211356.48</v>
      </c>
      <c r="J36" s="5">
        <v>-24947.48</v>
      </c>
    </row>
    <row r="37" spans="1:10" ht="12.75">
      <c r="A37" t="s">
        <v>20</v>
      </c>
      <c r="B37" s="4">
        <v>0</v>
      </c>
      <c r="C37" s="4">
        <v>0</v>
      </c>
      <c r="D37" s="4">
        <v>0</v>
      </c>
      <c r="E37" s="5">
        <v>-416885</v>
      </c>
      <c r="F37" s="5">
        <v>-34586</v>
      </c>
      <c r="G37" s="5">
        <v>-24991.73</v>
      </c>
      <c r="H37" s="5">
        <v>-168710</v>
      </c>
      <c r="I37" s="5">
        <v>-136153.71</v>
      </c>
      <c r="J37" s="5">
        <v>-32556.29</v>
      </c>
    </row>
    <row r="38" spans="1:10" ht="12.75">
      <c r="A38" t="s">
        <v>35</v>
      </c>
      <c r="B38" s="4">
        <v>180.01</v>
      </c>
      <c r="C38" s="4">
        <v>183.02</v>
      </c>
      <c r="D38" s="4">
        <v>183.77</v>
      </c>
      <c r="E38" s="5">
        <v>8171453</v>
      </c>
      <c r="F38" s="5">
        <v>756010</v>
      </c>
      <c r="G38" s="5">
        <v>756367.27</v>
      </c>
      <c r="H38" s="5">
        <v>3562754</v>
      </c>
      <c r="I38" s="5">
        <v>3631213.4</v>
      </c>
      <c r="J38" s="5">
        <v>-68459.4</v>
      </c>
    </row>
    <row r="39" spans="1:10" ht="12.75">
      <c r="A39" t="s">
        <v>36</v>
      </c>
      <c r="B39"/>
      <c r="C39"/>
      <c r="D39"/>
      <c r="E39"/>
      <c r="F39"/>
      <c r="G39"/>
      <c r="H39"/>
      <c r="I39"/>
      <c r="J39"/>
    </row>
    <row r="40" spans="1:10" ht="12.75">
      <c r="A40" t="s">
        <v>25</v>
      </c>
      <c r="B40" s="4">
        <v>0</v>
      </c>
      <c r="C40" s="4">
        <v>0</v>
      </c>
      <c r="D40" s="4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</row>
    <row r="41" spans="1:10" ht="12.75">
      <c r="A41" t="s">
        <v>19</v>
      </c>
      <c r="B41" s="4">
        <v>0</v>
      </c>
      <c r="C41" s="4">
        <v>0</v>
      </c>
      <c r="D41" s="4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</row>
    <row r="42" spans="1:10" ht="12.75">
      <c r="A42" t="s">
        <v>20</v>
      </c>
      <c r="B42" s="4">
        <v>0</v>
      </c>
      <c r="C42" s="4">
        <v>0</v>
      </c>
      <c r="D42" s="4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</row>
    <row r="43" spans="1:10" ht="12.75">
      <c r="A43" t="s">
        <v>37</v>
      </c>
      <c r="B43" s="4">
        <v>0</v>
      </c>
      <c r="C43" s="4">
        <v>0</v>
      </c>
      <c r="D43" s="4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</row>
    <row r="44" spans="1:10" ht="12.75">
      <c r="A44" t="s">
        <v>38</v>
      </c>
      <c r="B44" s="4">
        <v>1020.42</v>
      </c>
      <c r="C44" s="4">
        <v>1036.22</v>
      </c>
      <c r="D44" s="4">
        <v>1024.48</v>
      </c>
      <c r="E44" s="5">
        <v>46206398</v>
      </c>
      <c r="F44" s="5">
        <v>4091063</v>
      </c>
      <c r="G44" s="5">
        <v>4065705.56</v>
      </c>
      <c r="H44" s="5">
        <v>20037672</v>
      </c>
      <c r="I44" s="5">
        <v>20180198.81</v>
      </c>
      <c r="J44" s="5">
        <v>-142526.81</v>
      </c>
    </row>
    <row r="45" spans="1:10" ht="12.75">
      <c r="A45" t="s">
        <v>39</v>
      </c>
      <c r="B45"/>
      <c r="C45"/>
      <c r="D45"/>
      <c r="E45"/>
      <c r="F45"/>
      <c r="G45"/>
      <c r="H45"/>
      <c r="I45"/>
      <c r="J45"/>
    </row>
    <row r="46" spans="1:10" ht="12.75">
      <c r="A46" t="s">
        <v>40</v>
      </c>
      <c r="B46"/>
      <c r="C46"/>
      <c r="D46"/>
      <c r="E46"/>
      <c r="F46"/>
      <c r="G46"/>
      <c r="H46"/>
      <c r="I46"/>
      <c r="J46"/>
    </row>
    <row r="47" spans="1:10" ht="12.75">
      <c r="A47" t="s">
        <v>25</v>
      </c>
      <c r="B47" s="4">
        <v>374.15</v>
      </c>
      <c r="C47" s="4">
        <v>382.91</v>
      </c>
      <c r="D47" s="4">
        <v>372.9</v>
      </c>
      <c r="E47" s="5">
        <v>13886098</v>
      </c>
      <c r="F47" s="5">
        <v>1168182</v>
      </c>
      <c r="G47" s="5">
        <v>1209058.75</v>
      </c>
      <c r="H47" s="5">
        <v>5762528</v>
      </c>
      <c r="I47" s="5">
        <v>5860907.49</v>
      </c>
      <c r="J47" s="5">
        <v>-98379.49</v>
      </c>
    </row>
    <row r="48" spans="1:10" ht="12.75">
      <c r="A48" t="s">
        <v>19</v>
      </c>
      <c r="B48" s="4">
        <v>0</v>
      </c>
      <c r="C48" s="4">
        <v>0</v>
      </c>
      <c r="D48" s="4">
        <v>0</v>
      </c>
      <c r="E48" s="5">
        <v>5195699</v>
      </c>
      <c r="F48" s="5">
        <v>408302</v>
      </c>
      <c r="G48" s="5">
        <v>457680.73</v>
      </c>
      <c r="H48" s="5">
        <v>2338976</v>
      </c>
      <c r="I48" s="5">
        <v>2716331.96</v>
      </c>
      <c r="J48" s="5">
        <v>-377355.96</v>
      </c>
    </row>
    <row r="49" spans="1:10" ht="12.75">
      <c r="A49" t="s">
        <v>20</v>
      </c>
      <c r="B49" s="4">
        <v>0</v>
      </c>
      <c r="C49" s="4">
        <v>0</v>
      </c>
      <c r="D49" s="4">
        <v>0</v>
      </c>
      <c r="E49" s="5">
        <v>-246500</v>
      </c>
      <c r="F49" s="5">
        <v>-20665</v>
      </c>
      <c r="G49" s="5">
        <v>-20897.32</v>
      </c>
      <c r="H49" s="5">
        <v>-103505</v>
      </c>
      <c r="I49" s="5">
        <v>-101105.55</v>
      </c>
      <c r="J49" s="5">
        <v>-2399.45</v>
      </c>
    </row>
    <row r="50" spans="1:10" ht="12.75">
      <c r="A50" t="s">
        <v>41</v>
      </c>
      <c r="B50" s="4">
        <v>374.15</v>
      </c>
      <c r="C50" s="4">
        <v>382.91</v>
      </c>
      <c r="D50" s="4">
        <v>372.9</v>
      </c>
      <c r="E50" s="5">
        <v>18835297</v>
      </c>
      <c r="F50" s="5">
        <v>1555819</v>
      </c>
      <c r="G50" s="5">
        <v>1645842.16</v>
      </c>
      <c r="H50" s="5">
        <v>7997999</v>
      </c>
      <c r="I50" s="5">
        <v>8476133.9</v>
      </c>
      <c r="J50" s="5">
        <v>-478134.9</v>
      </c>
    </row>
    <row r="51" spans="1:10" ht="12.75">
      <c r="A51" t="s">
        <v>42</v>
      </c>
      <c r="B51"/>
      <c r="C51"/>
      <c r="D51"/>
      <c r="E51"/>
      <c r="F51"/>
      <c r="G51"/>
      <c r="H51"/>
      <c r="I51"/>
      <c r="J51"/>
    </row>
    <row r="52" spans="1:10" ht="12.75">
      <c r="A52" t="s">
        <v>25</v>
      </c>
      <c r="B52" s="4">
        <v>142.49</v>
      </c>
      <c r="C52" s="4">
        <v>142.94</v>
      </c>
      <c r="D52" s="4">
        <v>139.21</v>
      </c>
      <c r="E52" s="5">
        <v>6522426</v>
      </c>
      <c r="F52" s="5">
        <v>700101</v>
      </c>
      <c r="G52" s="5">
        <v>698624.47</v>
      </c>
      <c r="H52" s="5">
        <v>2820311</v>
      </c>
      <c r="I52" s="5">
        <v>2741375.65</v>
      </c>
      <c r="J52" s="5">
        <v>78935.35</v>
      </c>
    </row>
    <row r="53" spans="1:10" ht="12.75">
      <c r="A53" t="s">
        <v>19</v>
      </c>
      <c r="B53" s="4">
        <v>0</v>
      </c>
      <c r="C53" s="4">
        <v>0</v>
      </c>
      <c r="D53" s="4">
        <v>0</v>
      </c>
      <c r="E53" s="5">
        <v>751244</v>
      </c>
      <c r="F53" s="5">
        <v>38363</v>
      </c>
      <c r="G53" s="5">
        <v>31872.33</v>
      </c>
      <c r="H53" s="5">
        <v>294678</v>
      </c>
      <c r="I53" s="5">
        <v>258722.52</v>
      </c>
      <c r="J53" s="5">
        <v>35955.48</v>
      </c>
    </row>
    <row r="54" spans="1:10" ht="12.75">
      <c r="A54" t="s">
        <v>20</v>
      </c>
      <c r="B54" s="4">
        <v>0</v>
      </c>
      <c r="C54" s="4">
        <v>0</v>
      </c>
      <c r="D54" s="4">
        <v>0</v>
      </c>
      <c r="E54" s="5">
        <v>-145647</v>
      </c>
      <c r="F54" s="5">
        <v>-12138</v>
      </c>
      <c r="G54" s="5">
        <v>-15576.93</v>
      </c>
      <c r="H54" s="5">
        <v>-60690</v>
      </c>
      <c r="I54" s="5">
        <v>-63751.63</v>
      </c>
      <c r="J54" s="5">
        <v>3061.63</v>
      </c>
    </row>
    <row r="55" spans="1:10" ht="12.75">
      <c r="A55" t="s">
        <v>43</v>
      </c>
      <c r="B55" s="4">
        <v>142.49</v>
      </c>
      <c r="C55" s="4">
        <v>142.94</v>
      </c>
      <c r="D55" s="4">
        <v>139.21</v>
      </c>
      <c r="E55" s="5">
        <v>7128023</v>
      </c>
      <c r="F55" s="5">
        <v>726326</v>
      </c>
      <c r="G55" s="5">
        <v>714919.87</v>
      </c>
      <c r="H55" s="5">
        <v>3054299</v>
      </c>
      <c r="I55" s="5">
        <v>2936346.54</v>
      </c>
      <c r="J55" s="5">
        <v>117952.46</v>
      </c>
    </row>
    <row r="56" spans="1:10" ht="12.75">
      <c r="A56" t="s">
        <v>44</v>
      </c>
      <c r="B56"/>
      <c r="C56"/>
      <c r="D56"/>
      <c r="E56"/>
      <c r="F56"/>
      <c r="G56"/>
      <c r="H56"/>
      <c r="I56"/>
      <c r="J56"/>
    </row>
    <row r="57" spans="1:10" ht="12.75">
      <c r="A57" t="s">
        <v>25</v>
      </c>
      <c r="B57" s="4">
        <v>60.54</v>
      </c>
      <c r="C57" s="4">
        <v>59.92</v>
      </c>
      <c r="D57" s="4">
        <v>61.51</v>
      </c>
      <c r="E57" s="5">
        <v>1896437</v>
      </c>
      <c r="F57" s="5">
        <v>244651</v>
      </c>
      <c r="G57" s="5">
        <v>172343.84</v>
      </c>
      <c r="H57" s="5">
        <v>944092</v>
      </c>
      <c r="I57" s="5">
        <v>859454.15</v>
      </c>
      <c r="J57" s="5">
        <v>84637.85</v>
      </c>
    </row>
    <row r="58" spans="1:10" ht="12.75">
      <c r="A58" t="s">
        <v>19</v>
      </c>
      <c r="B58" s="4">
        <v>0</v>
      </c>
      <c r="C58" s="4">
        <v>0</v>
      </c>
      <c r="D58" s="4">
        <v>0</v>
      </c>
      <c r="E58" s="5">
        <v>5002863</v>
      </c>
      <c r="F58" s="5">
        <v>339966</v>
      </c>
      <c r="G58" s="5">
        <v>313559.97</v>
      </c>
      <c r="H58" s="5">
        <v>1645883</v>
      </c>
      <c r="I58" s="5">
        <v>1475768.32</v>
      </c>
      <c r="J58" s="5">
        <v>170114.68</v>
      </c>
    </row>
    <row r="59" spans="1:10" ht="12.75">
      <c r="A59" t="s">
        <v>20</v>
      </c>
      <c r="B59" s="4">
        <v>0</v>
      </c>
      <c r="C59" s="4">
        <v>0</v>
      </c>
      <c r="D59" s="4">
        <v>0</v>
      </c>
      <c r="E59" s="5">
        <v>-3102088</v>
      </c>
      <c r="F59" s="5">
        <v>-192605</v>
      </c>
      <c r="G59" s="5">
        <v>-136239.7</v>
      </c>
      <c r="H59" s="5">
        <v>-990025</v>
      </c>
      <c r="I59" s="5">
        <v>-787084.73</v>
      </c>
      <c r="J59" s="5">
        <v>-202940.27</v>
      </c>
    </row>
    <row r="60" spans="1:10" ht="12.75">
      <c r="A60" t="s">
        <v>45</v>
      </c>
      <c r="B60" s="4">
        <v>60.54</v>
      </c>
      <c r="C60" s="4">
        <v>59.92</v>
      </c>
      <c r="D60" s="4">
        <v>61.51</v>
      </c>
      <c r="E60" s="5">
        <v>3797212</v>
      </c>
      <c r="F60" s="5">
        <v>392012</v>
      </c>
      <c r="G60" s="5">
        <v>349664.11</v>
      </c>
      <c r="H60" s="5">
        <v>1599950</v>
      </c>
      <c r="I60" s="5">
        <v>1548137.74</v>
      </c>
      <c r="J60" s="5">
        <v>51812.26</v>
      </c>
    </row>
    <row r="61" spans="1:10" ht="12.75">
      <c r="A61" t="s">
        <v>46</v>
      </c>
      <c r="B61"/>
      <c r="C61"/>
      <c r="D61"/>
      <c r="E61"/>
      <c r="F61"/>
      <c r="G61"/>
      <c r="H61"/>
      <c r="I61"/>
      <c r="J61"/>
    </row>
    <row r="62" spans="1:10" ht="12.75">
      <c r="A62" t="s">
        <v>25</v>
      </c>
      <c r="B62" s="4">
        <v>381.19</v>
      </c>
      <c r="C62" s="4">
        <v>406.12</v>
      </c>
      <c r="D62" s="4">
        <v>390.9</v>
      </c>
      <c r="E62" s="5">
        <v>14062436</v>
      </c>
      <c r="F62" s="5">
        <v>1202540</v>
      </c>
      <c r="G62" s="5">
        <v>1227949.68</v>
      </c>
      <c r="H62" s="5">
        <v>5921170</v>
      </c>
      <c r="I62" s="5">
        <v>6035285.33</v>
      </c>
      <c r="J62" s="5">
        <v>-114115.33</v>
      </c>
    </row>
    <row r="63" spans="1:10" ht="12.75">
      <c r="A63" t="s">
        <v>19</v>
      </c>
      <c r="B63" s="4">
        <v>0</v>
      </c>
      <c r="C63" s="4">
        <v>0</v>
      </c>
      <c r="D63" s="4">
        <v>0</v>
      </c>
      <c r="E63" s="5">
        <v>689920</v>
      </c>
      <c r="F63" s="5">
        <v>57627</v>
      </c>
      <c r="G63" s="5">
        <v>56597.66</v>
      </c>
      <c r="H63" s="5">
        <v>295686</v>
      </c>
      <c r="I63" s="5">
        <v>335010.9</v>
      </c>
      <c r="J63" s="5">
        <v>-39324.9</v>
      </c>
    </row>
    <row r="64" spans="1:10" ht="12.75">
      <c r="A64" t="s">
        <v>20</v>
      </c>
      <c r="B64" s="4">
        <v>0</v>
      </c>
      <c r="C64" s="4">
        <v>0</v>
      </c>
      <c r="D64" s="4">
        <v>0</v>
      </c>
      <c r="E64" s="5">
        <v>-26985</v>
      </c>
      <c r="F64" s="5">
        <v>-2249</v>
      </c>
      <c r="G64" s="5">
        <v>-3579</v>
      </c>
      <c r="H64" s="5">
        <v>-11245</v>
      </c>
      <c r="I64" s="5">
        <v>-14057</v>
      </c>
      <c r="J64" s="5">
        <v>2812</v>
      </c>
    </row>
    <row r="65" spans="1:10" ht="12.75">
      <c r="A65" t="s">
        <v>47</v>
      </c>
      <c r="B65" s="4">
        <v>381.19</v>
      </c>
      <c r="C65" s="4">
        <v>406.12</v>
      </c>
      <c r="D65" s="4">
        <v>390.9</v>
      </c>
      <c r="E65" s="5">
        <v>14725371</v>
      </c>
      <c r="F65" s="5">
        <v>1257918</v>
      </c>
      <c r="G65" s="5">
        <v>1280968.34</v>
      </c>
      <c r="H65" s="5">
        <v>6205611</v>
      </c>
      <c r="I65" s="5">
        <v>6356239.23</v>
      </c>
      <c r="J65" s="5">
        <v>-150628.23</v>
      </c>
    </row>
    <row r="66" spans="1:10" ht="12.75">
      <c r="A66" t="s">
        <v>48</v>
      </c>
      <c r="B66"/>
      <c r="C66"/>
      <c r="D66"/>
      <c r="E66"/>
      <c r="F66"/>
      <c r="G66"/>
      <c r="H66"/>
      <c r="I66"/>
      <c r="J66"/>
    </row>
    <row r="67" spans="1:10" ht="12.75">
      <c r="A67" t="s">
        <v>25</v>
      </c>
      <c r="B67" s="4">
        <v>225.1</v>
      </c>
      <c r="C67" s="4">
        <v>221.58</v>
      </c>
      <c r="D67" s="4">
        <v>228.58</v>
      </c>
      <c r="E67" s="5">
        <v>4263511</v>
      </c>
      <c r="F67" s="5">
        <v>402482</v>
      </c>
      <c r="G67" s="5">
        <v>410197.25</v>
      </c>
      <c r="H67" s="5">
        <v>1927356</v>
      </c>
      <c r="I67" s="5">
        <v>1927117.53</v>
      </c>
      <c r="J67" s="5">
        <v>238.47</v>
      </c>
    </row>
    <row r="68" spans="1:10" ht="12.75">
      <c r="A68" t="s">
        <v>19</v>
      </c>
      <c r="B68" s="4">
        <v>0</v>
      </c>
      <c r="C68" s="4">
        <v>0</v>
      </c>
      <c r="D68" s="4">
        <v>0</v>
      </c>
      <c r="E68" s="5">
        <v>512551</v>
      </c>
      <c r="F68" s="5">
        <v>40868</v>
      </c>
      <c r="G68" s="5">
        <v>36086.93</v>
      </c>
      <c r="H68" s="5">
        <v>218232</v>
      </c>
      <c r="I68" s="5">
        <v>213784.48</v>
      </c>
      <c r="J68" s="5">
        <v>4447.52</v>
      </c>
    </row>
    <row r="69" spans="1:10" ht="12.75">
      <c r="A69" t="s">
        <v>20</v>
      </c>
      <c r="B69" s="4">
        <v>0</v>
      </c>
      <c r="C69" s="4">
        <v>0</v>
      </c>
      <c r="D69" s="4">
        <v>0</v>
      </c>
      <c r="E69" s="5">
        <v>-35072</v>
      </c>
      <c r="F69" s="5">
        <v>-2922</v>
      </c>
      <c r="G69" s="5">
        <v>-2777.69</v>
      </c>
      <c r="H69" s="5">
        <v>-14610</v>
      </c>
      <c r="I69" s="5">
        <v>-20798.04</v>
      </c>
      <c r="J69" s="5">
        <v>6188.04</v>
      </c>
    </row>
    <row r="70" spans="1:10" ht="12.75">
      <c r="A70" t="s">
        <v>49</v>
      </c>
      <c r="B70" s="4">
        <v>225.1</v>
      </c>
      <c r="C70" s="4">
        <v>221.58</v>
      </c>
      <c r="D70" s="4">
        <v>228.58</v>
      </c>
      <c r="E70" s="5">
        <v>4740990</v>
      </c>
      <c r="F70" s="5">
        <v>440428</v>
      </c>
      <c r="G70" s="5">
        <v>443506.49</v>
      </c>
      <c r="H70" s="5">
        <v>2130978</v>
      </c>
      <c r="I70" s="5">
        <v>2120103.97</v>
      </c>
      <c r="J70" s="5">
        <v>10874.03</v>
      </c>
    </row>
    <row r="71" spans="1:10" ht="12.75">
      <c r="A71" t="s">
        <v>50</v>
      </c>
      <c r="B71" s="4">
        <v>1183.47</v>
      </c>
      <c r="C71" s="4">
        <v>1213.47</v>
      </c>
      <c r="D71" s="4">
        <v>1193.1</v>
      </c>
      <c r="E71" s="5">
        <v>49226893</v>
      </c>
      <c r="F71" s="5">
        <v>4372503</v>
      </c>
      <c r="G71" s="5">
        <v>4434900.97</v>
      </c>
      <c r="H71" s="5">
        <v>20988837</v>
      </c>
      <c r="I71" s="5">
        <v>21436961.38</v>
      </c>
      <c r="J71" s="5">
        <v>-448124.38</v>
      </c>
    </row>
    <row r="72" spans="1:10" ht="12.75">
      <c r="A72" t="s">
        <v>51</v>
      </c>
      <c r="B72"/>
      <c r="C72"/>
      <c r="D72"/>
      <c r="E72"/>
      <c r="F72"/>
      <c r="G72"/>
      <c r="H72"/>
      <c r="I72"/>
      <c r="J72"/>
    </row>
    <row r="73" spans="1:10" ht="12.75">
      <c r="A73" t="s">
        <v>51</v>
      </c>
      <c r="B73"/>
      <c r="C73"/>
      <c r="D73"/>
      <c r="E73"/>
      <c r="F73"/>
      <c r="G73"/>
      <c r="H73"/>
      <c r="I73"/>
      <c r="J73"/>
    </row>
    <row r="74" spans="1:10" ht="12.75">
      <c r="A74" t="s">
        <v>25</v>
      </c>
      <c r="B74" s="4">
        <v>344.21</v>
      </c>
      <c r="C74" s="4">
        <v>345.38</v>
      </c>
      <c r="D74" s="4">
        <v>336.58</v>
      </c>
      <c r="E74" s="5">
        <v>11337049</v>
      </c>
      <c r="F74" s="5">
        <v>981007</v>
      </c>
      <c r="G74" s="5">
        <v>981279.28</v>
      </c>
      <c r="H74" s="5">
        <v>4764701</v>
      </c>
      <c r="I74" s="5">
        <v>4827002.88</v>
      </c>
      <c r="J74" s="5">
        <v>-62301.88</v>
      </c>
    </row>
    <row r="75" spans="1:10" ht="12.75">
      <c r="A75" t="s">
        <v>19</v>
      </c>
      <c r="B75" s="4">
        <v>0</v>
      </c>
      <c r="C75" s="4">
        <v>0</v>
      </c>
      <c r="D75" s="4">
        <v>0</v>
      </c>
      <c r="E75" s="5">
        <v>1883853</v>
      </c>
      <c r="F75" s="5">
        <v>132580</v>
      </c>
      <c r="G75" s="5">
        <v>129149.17</v>
      </c>
      <c r="H75" s="5">
        <v>771332</v>
      </c>
      <c r="I75" s="5">
        <v>762273.89</v>
      </c>
      <c r="J75" s="5">
        <v>9058.11</v>
      </c>
    </row>
    <row r="76" spans="1:10" ht="12.75">
      <c r="A76" t="s">
        <v>20</v>
      </c>
      <c r="B76" s="4">
        <v>0</v>
      </c>
      <c r="C76" s="4">
        <v>0</v>
      </c>
      <c r="D76" s="4">
        <v>0</v>
      </c>
      <c r="E76" s="5">
        <v>-440660</v>
      </c>
      <c r="F76" s="5">
        <v>-28716</v>
      </c>
      <c r="G76" s="5">
        <v>-31059.6</v>
      </c>
      <c r="H76" s="5">
        <v>-167630</v>
      </c>
      <c r="I76" s="5">
        <v>-175079.63</v>
      </c>
      <c r="J76" s="5">
        <v>7449.63</v>
      </c>
    </row>
    <row r="77" spans="1:10" ht="12.75">
      <c r="A77" t="s">
        <v>52</v>
      </c>
      <c r="B77" s="4">
        <v>344.21</v>
      </c>
      <c r="C77" s="4">
        <v>345.38</v>
      </c>
      <c r="D77" s="4">
        <v>336.58</v>
      </c>
      <c r="E77" s="5">
        <v>12780242</v>
      </c>
      <c r="F77" s="5">
        <v>1084871</v>
      </c>
      <c r="G77" s="5">
        <v>1079368.85</v>
      </c>
      <c r="H77" s="5">
        <v>5368403</v>
      </c>
      <c r="I77" s="5">
        <v>5414197.14</v>
      </c>
      <c r="J77" s="5">
        <v>-45794.14</v>
      </c>
    </row>
    <row r="78" spans="1:10" ht="12.75">
      <c r="A78" t="s">
        <v>53</v>
      </c>
      <c r="B78" s="4">
        <v>344.21</v>
      </c>
      <c r="C78" s="4">
        <v>345.38</v>
      </c>
      <c r="D78" s="4">
        <v>336.58</v>
      </c>
      <c r="E78" s="5">
        <v>12780242</v>
      </c>
      <c r="F78" s="5">
        <v>1084871</v>
      </c>
      <c r="G78" s="5">
        <v>1079368.85</v>
      </c>
      <c r="H78" s="5">
        <v>5368403</v>
      </c>
      <c r="I78" s="5">
        <v>5414197.14</v>
      </c>
      <c r="J78" s="5">
        <v>-45794.14</v>
      </c>
    </row>
    <row r="79" spans="1:10" ht="12.75">
      <c r="A79" t="s">
        <v>54</v>
      </c>
      <c r="B79"/>
      <c r="C79"/>
      <c r="D79"/>
      <c r="E79"/>
      <c r="F79"/>
      <c r="G79"/>
      <c r="H79"/>
      <c r="I79"/>
      <c r="J79"/>
    </row>
    <row r="80" spans="1:10" ht="12.75">
      <c r="A80" t="s">
        <v>54</v>
      </c>
      <c r="B80"/>
      <c r="C80"/>
      <c r="D80"/>
      <c r="E80"/>
      <c r="F80"/>
      <c r="G80"/>
      <c r="H80"/>
      <c r="I80"/>
      <c r="J80"/>
    </row>
    <row r="81" spans="1:10" ht="12.75">
      <c r="A81" t="s">
        <v>25</v>
      </c>
      <c r="B81" s="4">
        <v>178.78</v>
      </c>
      <c r="C81" s="4">
        <v>198.79</v>
      </c>
      <c r="D81" s="4">
        <v>184.47</v>
      </c>
      <c r="E81" s="5">
        <v>7732306</v>
      </c>
      <c r="F81" s="5">
        <v>646992</v>
      </c>
      <c r="G81" s="5">
        <v>646317.07</v>
      </c>
      <c r="H81" s="5">
        <v>3210231</v>
      </c>
      <c r="I81" s="5">
        <v>3314781.88</v>
      </c>
      <c r="J81" s="5">
        <v>-104550.88</v>
      </c>
    </row>
    <row r="82" spans="1:10" ht="12.75">
      <c r="A82" t="s">
        <v>19</v>
      </c>
      <c r="B82" s="4">
        <v>0</v>
      </c>
      <c r="C82" s="4">
        <v>0</v>
      </c>
      <c r="D82" s="4">
        <v>0</v>
      </c>
      <c r="E82" s="5">
        <v>712867</v>
      </c>
      <c r="F82" s="5">
        <v>53861</v>
      </c>
      <c r="G82" s="5">
        <v>47938.28</v>
      </c>
      <c r="H82" s="5">
        <v>270306</v>
      </c>
      <c r="I82" s="5">
        <v>257345.93</v>
      </c>
      <c r="J82" s="5">
        <v>12960.07</v>
      </c>
    </row>
    <row r="83" spans="1:10" ht="12.75">
      <c r="A83" t="s">
        <v>20</v>
      </c>
      <c r="B83" s="4">
        <v>0</v>
      </c>
      <c r="C83" s="4">
        <v>0</v>
      </c>
      <c r="D83" s="4">
        <v>0</v>
      </c>
      <c r="E83" s="5">
        <v>-79694</v>
      </c>
      <c r="F83" s="5">
        <v>-31</v>
      </c>
      <c r="G83" s="5">
        <v>89.77</v>
      </c>
      <c r="H83" s="5">
        <v>-5047</v>
      </c>
      <c r="I83" s="5">
        <v>-5404.68</v>
      </c>
      <c r="J83" s="5">
        <v>357.68</v>
      </c>
    </row>
    <row r="84" spans="1:10" ht="12.75">
      <c r="A84" t="s">
        <v>55</v>
      </c>
      <c r="B84" s="4">
        <v>178.78</v>
      </c>
      <c r="C84" s="4">
        <v>198.79</v>
      </c>
      <c r="D84" s="4">
        <v>184.47</v>
      </c>
      <c r="E84" s="5">
        <v>8365479</v>
      </c>
      <c r="F84" s="5">
        <v>700822</v>
      </c>
      <c r="G84" s="5">
        <v>694345.12</v>
      </c>
      <c r="H84" s="5">
        <v>3475490</v>
      </c>
      <c r="I84" s="5">
        <v>3566723.13</v>
      </c>
      <c r="J84" s="5">
        <v>-91233.13</v>
      </c>
    </row>
    <row r="85" spans="1:10" ht="12.75">
      <c r="A85" t="s">
        <v>56</v>
      </c>
      <c r="B85" s="4">
        <v>178.78</v>
      </c>
      <c r="C85" s="4">
        <v>198.79</v>
      </c>
      <c r="D85" s="4">
        <v>184.47</v>
      </c>
      <c r="E85" s="5">
        <v>8365479</v>
      </c>
      <c r="F85" s="5">
        <v>700822</v>
      </c>
      <c r="G85" s="5">
        <v>694345.12</v>
      </c>
      <c r="H85" s="5">
        <v>3475490</v>
      </c>
      <c r="I85" s="5">
        <v>3566723.13</v>
      </c>
      <c r="J85" s="5">
        <v>-91233.13</v>
      </c>
    </row>
    <row r="86" spans="1:10" ht="12.75">
      <c r="A86" t="s">
        <v>57</v>
      </c>
      <c r="B86"/>
      <c r="C86"/>
      <c r="D86"/>
      <c r="E86"/>
      <c r="F86"/>
      <c r="G86"/>
      <c r="H86"/>
      <c r="I86"/>
      <c r="J86"/>
    </row>
    <row r="87" spans="1:10" ht="12.75">
      <c r="A87" t="s">
        <v>57</v>
      </c>
      <c r="B87"/>
      <c r="C87"/>
      <c r="D87"/>
      <c r="E87"/>
      <c r="F87"/>
      <c r="G87"/>
      <c r="H87"/>
      <c r="I87"/>
      <c r="J87"/>
    </row>
    <row r="88" spans="1:10" ht="12.75">
      <c r="A88" t="s">
        <v>25</v>
      </c>
      <c r="B88" s="4">
        <v>155.81</v>
      </c>
      <c r="C88" s="4">
        <v>150.36</v>
      </c>
      <c r="D88" s="4">
        <v>148.34</v>
      </c>
      <c r="E88" s="5">
        <v>5916974</v>
      </c>
      <c r="F88" s="5">
        <v>487653</v>
      </c>
      <c r="G88" s="5">
        <v>490189.78</v>
      </c>
      <c r="H88" s="5">
        <v>2456013</v>
      </c>
      <c r="I88" s="5">
        <v>2470305.99</v>
      </c>
      <c r="J88" s="5">
        <v>-14292.99</v>
      </c>
    </row>
    <row r="89" spans="1:10" ht="12.75">
      <c r="A89" t="s">
        <v>19</v>
      </c>
      <c r="B89" s="4">
        <v>0</v>
      </c>
      <c r="C89" s="4">
        <v>0</v>
      </c>
      <c r="D89" s="4">
        <v>0</v>
      </c>
      <c r="E89" s="5">
        <v>2556707</v>
      </c>
      <c r="F89" s="5">
        <v>157493</v>
      </c>
      <c r="G89" s="5">
        <v>175327.25</v>
      </c>
      <c r="H89" s="5">
        <v>1338518</v>
      </c>
      <c r="I89" s="5">
        <v>1365029.53</v>
      </c>
      <c r="J89" s="5">
        <v>-26511.53</v>
      </c>
    </row>
    <row r="90" spans="1:10" ht="12.75">
      <c r="A90" t="s">
        <v>20</v>
      </c>
      <c r="B90" s="4">
        <v>0</v>
      </c>
      <c r="C90" s="4">
        <v>0</v>
      </c>
      <c r="D90" s="4">
        <v>0</v>
      </c>
      <c r="E90" s="5">
        <v>-428009</v>
      </c>
      <c r="F90" s="5">
        <v>-34079</v>
      </c>
      <c r="G90" s="5">
        <v>-29980.72</v>
      </c>
      <c r="H90" s="5">
        <v>-173068</v>
      </c>
      <c r="I90" s="5">
        <v>-158300.87</v>
      </c>
      <c r="J90" s="5">
        <v>-14767.13</v>
      </c>
    </row>
    <row r="91" spans="1:10" ht="12.75">
      <c r="A91" t="s">
        <v>58</v>
      </c>
      <c r="B91" s="4">
        <v>155.81</v>
      </c>
      <c r="C91" s="4">
        <v>150.36</v>
      </c>
      <c r="D91" s="4">
        <v>148.34</v>
      </c>
      <c r="E91" s="5">
        <v>8045672</v>
      </c>
      <c r="F91" s="5">
        <v>611067</v>
      </c>
      <c r="G91" s="5">
        <v>635536.31</v>
      </c>
      <c r="H91" s="5">
        <v>3621463</v>
      </c>
      <c r="I91" s="5">
        <v>3677034.65</v>
      </c>
      <c r="J91" s="5">
        <v>-55571.65</v>
      </c>
    </row>
    <row r="92" spans="1:10" ht="12.75">
      <c r="A92" t="s">
        <v>59</v>
      </c>
      <c r="B92" s="4">
        <v>155.81</v>
      </c>
      <c r="C92" s="4">
        <v>150.36</v>
      </c>
      <c r="D92" s="4">
        <v>148.34</v>
      </c>
      <c r="E92" s="5">
        <v>8045672</v>
      </c>
      <c r="F92" s="5">
        <v>611067</v>
      </c>
      <c r="G92" s="5">
        <v>635536.31</v>
      </c>
      <c r="H92" s="5">
        <v>3621463</v>
      </c>
      <c r="I92" s="5">
        <v>3677034.65</v>
      </c>
      <c r="J92" s="5">
        <v>-55571.65</v>
      </c>
    </row>
    <row r="93" spans="1:10" ht="12.75">
      <c r="A93" t="s">
        <v>60</v>
      </c>
      <c r="B93"/>
      <c r="C93"/>
      <c r="D93"/>
      <c r="E93"/>
      <c r="F93"/>
      <c r="G93"/>
      <c r="H93"/>
      <c r="I93"/>
      <c r="J93"/>
    </row>
    <row r="94" spans="1:10" ht="12.75">
      <c r="A94" t="s">
        <v>60</v>
      </c>
      <c r="B94"/>
      <c r="C94"/>
      <c r="D94"/>
      <c r="E94"/>
      <c r="F94"/>
      <c r="G94"/>
      <c r="H94"/>
      <c r="I94"/>
      <c r="J94"/>
    </row>
    <row r="95" spans="1:10" ht="12.75">
      <c r="A95" t="s">
        <v>25</v>
      </c>
      <c r="B95" s="4">
        <v>213.22</v>
      </c>
      <c r="C95" s="4">
        <v>212.95</v>
      </c>
      <c r="D95" s="4">
        <v>204.84</v>
      </c>
      <c r="E95" s="5">
        <v>7092734</v>
      </c>
      <c r="F95" s="5">
        <v>590542</v>
      </c>
      <c r="G95" s="5">
        <v>590384.76</v>
      </c>
      <c r="H95" s="5">
        <v>2959106</v>
      </c>
      <c r="I95" s="5">
        <v>2952090.71</v>
      </c>
      <c r="J95" s="5">
        <v>7015.29</v>
      </c>
    </row>
    <row r="96" spans="1:10" ht="12.75">
      <c r="A96" t="s">
        <v>19</v>
      </c>
      <c r="B96" s="4">
        <v>0</v>
      </c>
      <c r="C96" s="4">
        <v>0</v>
      </c>
      <c r="D96" s="4">
        <v>0</v>
      </c>
      <c r="E96" s="5">
        <v>2998296</v>
      </c>
      <c r="F96" s="5">
        <v>235200</v>
      </c>
      <c r="G96" s="5">
        <v>232270.23</v>
      </c>
      <c r="H96" s="5">
        <v>1525450</v>
      </c>
      <c r="I96" s="5">
        <v>1539739.86</v>
      </c>
      <c r="J96" s="5">
        <v>-14289.86</v>
      </c>
    </row>
    <row r="97" spans="1:10" ht="12.75">
      <c r="A97" t="s">
        <v>20</v>
      </c>
      <c r="B97" s="4">
        <v>0</v>
      </c>
      <c r="C97" s="4">
        <v>0</v>
      </c>
      <c r="D97" s="4">
        <v>0</v>
      </c>
      <c r="E97" s="5">
        <v>-1321202</v>
      </c>
      <c r="F97" s="5">
        <v>-111570</v>
      </c>
      <c r="G97" s="5">
        <v>-112618.59</v>
      </c>
      <c r="H97" s="5">
        <v>-422527</v>
      </c>
      <c r="I97" s="5">
        <v>-424951.96</v>
      </c>
      <c r="J97" s="5">
        <v>2424.96</v>
      </c>
    </row>
    <row r="98" spans="1:10" ht="12.75">
      <c r="A98" t="s">
        <v>61</v>
      </c>
      <c r="B98" s="4">
        <v>213.22</v>
      </c>
      <c r="C98" s="4">
        <v>212.95</v>
      </c>
      <c r="D98" s="4">
        <v>204.84</v>
      </c>
      <c r="E98" s="5">
        <v>8769828</v>
      </c>
      <c r="F98" s="5">
        <v>714172</v>
      </c>
      <c r="G98" s="5">
        <v>710036.4</v>
      </c>
      <c r="H98" s="5">
        <v>4062029</v>
      </c>
      <c r="I98" s="5">
        <v>4066878.61</v>
      </c>
      <c r="J98" s="5">
        <v>-4849.61</v>
      </c>
    </row>
    <row r="99" spans="1:10" ht="12.75">
      <c r="A99" t="s">
        <v>62</v>
      </c>
      <c r="B99" s="4">
        <v>213.22</v>
      </c>
      <c r="C99" s="4">
        <v>212.95</v>
      </c>
      <c r="D99" s="4">
        <v>204.84</v>
      </c>
      <c r="E99" s="5">
        <v>8769828</v>
      </c>
      <c r="F99" s="5">
        <v>714172</v>
      </c>
      <c r="G99" s="5">
        <v>710036.4</v>
      </c>
      <c r="H99" s="5">
        <v>4062029</v>
      </c>
      <c r="I99" s="5">
        <v>4066878.61</v>
      </c>
      <c r="J99" s="5">
        <v>-4849.61</v>
      </c>
    </row>
    <row r="100" spans="1:10" ht="12.75">
      <c r="A100" t="s">
        <v>63</v>
      </c>
      <c r="B100"/>
      <c r="C100"/>
      <c r="D100"/>
      <c r="E100"/>
      <c r="F100"/>
      <c r="G100"/>
      <c r="H100"/>
      <c r="I100"/>
      <c r="J100"/>
    </row>
    <row r="101" spans="1:10" ht="12.75">
      <c r="A101" t="s">
        <v>97</v>
      </c>
      <c r="B101"/>
      <c r="C101"/>
      <c r="D101"/>
      <c r="E101"/>
      <c r="F101"/>
      <c r="G101"/>
      <c r="H101"/>
      <c r="I101"/>
      <c r="J101"/>
    </row>
    <row r="102" spans="1:10" ht="12.75">
      <c r="A102" t="s">
        <v>25</v>
      </c>
      <c r="B102" s="4">
        <v>21.35</v>
      </c>
      <c r="C102" s="4">
        <v>24.51</v>
      </c>
      <c r="D102" s="4">
        <v>23.95</v>
      </c>
      <c r="E102" s="5">
        <v>607893</v>
      </c>
      <c r="F102" s="5">
        <v>43989</v>
      </c>
      <c r="G102" s="5">
        <v>57374.65</v>
      </c>
      <c r="H102" s="5">
        <v>299903</v>
      </c>
      <c r="I102" s="5">
        <v>291194.52</v>
      </c>
      <c r="J102" s="5">
        <v>8708.48</v>
      </c>
    </row>
    <row r="103" spans="1:10" ht="12.75">
      <c r="A103" t="s">
        <v>19</v>
      </c>
      <c r="B103" s="4">
        <v>0</v>
      </c>
      <c r="C103" s="4">
        <v>0</v>
      </c>
      <c r="D103" s="4">
        <v>0</v>
      </c>
      <c r="E103" s="5">
        <v>213644</v>
      </c>
      <c r="F103" s="5">
        <v>15851</v>
      </c>
      <c r="G103" s="5">
        <v>24020.21</v>
      </c>
      <c r="H103" s="5">
        <v>100849</v>
      </c>
      <c r="I103" s="5">
        <v>122794.58</v>
      </c>
      <c r="J103" s="5">
        <v>-21945.58</v>
      </c>
    </row>
    <row r="104" spans="1:10" ht="12.75">
      <c r="A104" t="s">
        <v>20</v>
      </c>
      <c r="B104" s="4">
        <v>0</v>
      </c>
      <c r="C104" s="4">
        <v>0</v>
      </c>
      <c r="D104" s="4">
        <v>0</v>
      </c>
      <c r="E104" s="5">
        <v>0</v>
      </c>
      <c r="F104" s="5">
        <v>0</v>
      </c>
      <c r="G104" s="5">
        <v>0</v>
      </c>
      <c r="H104" s="5">
        <v>0</v>
      </c>
      <c r="I104" s="5">
        <v>-65</v>
      </c>
      <c r="J104" s="5">
        <v>65</v>
      </c>
    </row>
    <row r="105" spans="1:10" ht="12.75">
      <c r="A105" t="s">
        <v>98</v>
      </c>
      <c r="B105" s="4">
        <v>21.35</v>
      </c>
      <c r="C105" s="4">
        <v>24.51</v>
      </c>
      <c r="D105" s="4">
        <v>23.95</v>
      </c>
      <c r="E105" s="5">
        <v>821537</v>
      </c>
      <c r="F105" s="5">
        <v>59840</v>
      </c>
      <c r="G105" s="5">
        <v>81394.86</v>
      </c>
      <c r="H105" s="5">
        <v>400752</v>
      </c>
      <c r="I105" s="5">
        <v>413924.1</v>
      </c>
      <c r="J105" s="5">
        <v>-13172.1</v>
      </c>
    </row>
    <row r="106" spans="1:10" ht="12.75">
      <c r="A106" t="s">
        <v>64</v>
      </c>
      <c r="B106"/>
      <c r="C106"/>
      <c r="D106"/>
      <c r="E106"/>
      <c r="F106"/>
      <c r="G106"/>
      <c r="H106"/>
      <c r="I106"/>
      <c r="J106"/>
    </row>
    <row r="107" spans="1:10" ht="12.75">
      <c r="A107" t="s">
        <v>25</v>
      </c>
      <c r="B107" s="4">
        <v>73.78</v>
      </c>
      <c r="C107" s="4">
        <v>69.99</v>
      </c>
      <c r="D107" s="4">
        <v>79.51</v>
      </c>
      <c r="E107" s="5">
        <v>2010928</v>
      </c>
      <c r="F107" s="5">
        <v>168105</v>
      </c>
      <c r="G107" s="5">
        <v>167458.63</v>
      </c>
      <c r="H107" s="5">
        <v>841105</v>
      </c>
      <c r="I107" s="5">
        <v>818102.96</v>
      </c>
      <c r="J107" s="5">
        <v>23002.04</v>
      </c>
    </row>
    <row r="108" spans="1:10" ht="12.75">
      <c r="A108" t="s">
        <v>19</v>
      </c>
      <c r="B108" s="4">
        <v>0</v>
      </c>
      <c r="C108" s="4">
        <v>0</v>
      </c>
      <c r="D108" s="4">
        <v>0</v>
      </c>
      <c r="E108" s="5">
        <v>4671301</v>
      </c>
      <c r="F108" s="5">
        <v>396089</v>
      </c>
      <c r="G108" s="5">
        <v>434578.72</v>
      </c>
      <c r="H108" s="5">
        <v>2222801</v>
      </c>
      <c r="I108" s="5">
        <v>2204046.42</v>
      </c>
      <c r="J108" s="5">
        <v>18754.58</v>
      </c>
    </row>
    <row r="109" spans="1:10" ht="12.75">
      <c r="A109" t="s">
        <v>20</v>
      </c>
      <c r="B109" s="4">
        <v>0</v>
      </c>
      <c r="C109" s="4">
        <v>0</v>
      </c>
      <c r="D109" s="4">
        <v>0</v>
      </c>
      <c r="E109" s="5">
        <v>-851996</v>
      </c>
      <c r="F109" s="5">
        <v>-82646</v>
      </c>
      <c r="G109" s="5">
        <v>-81799.75</v>
      </c>
      <c r="H109" s="5">
        <v>-362406</v>
      </c>
      <c r="I109" s="5">
        <v>-362835.37</v>
      </c>
      <c r="J109" s="5">
        <v>429.37</v>
      </c>
    </row>
    <row r="110" spans="1:10" ht="12.75">
      <c r="A110" t="s">
        <v>65</v>
      </c>
      <c r="B110" s="4">
        <v>73.78</v>
      </c>
      <c r="C110" s="4">
        <v>69.99</v>
      </c>
      <c r="D110" s="4">
        <v>79.51</v>
      </c>
      <c r="E110" s="5">
        <v>5830233</v>
      </c>
      <c r="F110" s="5">
        <v>481548</v>
      </c>
      <c r="G110" s="5">
        <v>520237.6</v>
      </c>
      <c r="H110" s="5">
        <v>2701500</v>
      </c>
      <c r="I110" s="5">
        <v>2659314.01</v>
      </c>
      <c r="J110" s="5">
        <v>42185.99</v>
      </c>
    </row>
    <row r="111" spans="1:10" ht="12.75">
      <c r="A111" t="s">
        <v>66</v>
      </c>
      <c r="B111"/>
      <c r="C111"/>
      <c r="D111"/>
      <c r="E111"/>
      <c r="F111"/>
      <c r="G111"/>
      <c r="H111"/>
      <c r="I111"/>
      <c r="J111"/>
    </row>
    <row r="112" spans="1:10" ht="12.75">
      <c r="A112" t="s">
        <v>25</v>
      </c>
      <c r="B112" s="4">
        <v>344.84</v>
      </c>
      <c r="C112" s="4">
        <v>313.58</v>
      </c>
      <c r="D112" s="4">
        <v>356.64</v>
      </c>
      <c r="E112" s="5">
        <v>5461159</v>
      </c>
      <c r="F112" s="5">
        <v>492289</v>
      </c>
      <c r="G112" s="5">
        <v>488517.23</v>
      </c>
      <c r="H112" s="5">
        <v>2395542</v>
      </c>
      <c r="I112" s="5">
        <v>2346221.32</v>
      </c>
      <c r="J112" s="5">
        <v>49320.68</v>
      </c>
    </row>
    <row r="113" spans="1:10" ht="12.75">
      <c r="A113" t="s">
        <v>19</v>
      </c>
      <c r="B113" s="4">
        <v>0</v>
      </c>
      <c r="C113" s="4">
        <v>0</v>
      </c>
      <c r="D113" s="4">
        <v>0</v>
      </c>
      <c r="E113" s="5">
        <v>2360648</v>
      </c>
      <c r="F113" s="5">
        <v>205698</v>
      </c>
      <c r="G113" s="5">
        <v>199304.36</v>
      </c>
      <c r="H113" s="5">
        <v>1053154</v>
      </c>
      <c r="I113" s="5">
        <v>1102352.26</v>
      </c>
      <c r="J113" s="5">
        <v>-49198.26</v>
      </c>
    </row>
    <row r="114" spans="1:10" ht="12.75">
      <c r="A114" t="s">
        <v>20</v>
      </c>
      <c r="B114" s="4">
        <v>0</v>
      </c>
      <c r="C114" s="4">
        <v>0</v>
      </c>
      <c r="D114" s="4">
        <v>0</v>
      </c>
      <c r="E114" s="5">
        <v>-1321038</v>
      </c>
      <c r="F114" s="5">
        <v>-108838</v>
      </c>
      <c r="G114" s="5">
        <v>-96128.3</v>
      </c>
      <c r="H114" s="5">
        <v>-559190</v>
      </c>
      <c r="I114" s="5">
        <v>-507143.11</v>
      </c>
      <c r="J114" s="5">
        <v>-52046.89</v>
      </c>
    </row>
    <row r="115" spans="1:10" ht="12.75">
      <c r="A115" t="s">
        <v>67</v>
      </c>
      <c r="B115" s="4">
        <v>344.84</v>
      </c>
      <c r="C115" s="4">
        <v>313.58</v>
      </c>
      <c r="D115" s="4">
        <v>356.64</v>
      </c>
      <c r="E115" s="5">
        <v>6500769</v>
      </c>
      <c r="F115" s="5">
        <v>589149</v>
      </c>
      <c r="G115" s="5">
        <v>591693.29</v>
      </c>
      <c r="H115" s="5">
        <v>2889506</v>
      </c>
      <c r="I115" s="5">
        <v>2941430.47</v>
      </c>
      <c r="J115" s="5">
        <v>-51924.47</v>
      </c>
    </row>
    <row r="116" spans="1:10" ht="12.75">
      <c r="A116" t="s">
        <v>68</v>
      </c>
      <c r="B116"/>
      <c r="C116"/>
      <c r="D116"/>
      <c r="E116"/>
      <c r="F116"/>
      <c r="G116"/>
      <c r="H116"/>
      <c r="I116"/>
      <c r="J116"/>
    </row>
    <row r="117" spans="1:10" ht="12.75">
      <c r="A117" t="s">
        <v>25</v>
      </c>
      <c r="B117" s="4">
        <v>30.88</v>
      </c>
      <c r="C117" s="4">
        <v>36.28</v>
      </c>
      <c r="D117" s="4">
        <v>24.97</v>
      </c>
      <c r="E117" s="5">
        <v>842302</v>
      </c>
      <c r="F117" s="5">
        <v>84538</v>
      </c>
      <c r="G117" s="5">
        <v>72331.77</v>
      </c>
      <c r="H117" s="5">
        <v>370964</v>
      </c>
      <c r="I117" s="5">
        <v>333097.99</v>
      </c>
      <c r="J117" s="5">
        <v>37866.01</v>
      </c>
    </row>
    <row r="118" spans="1:10" ht="12.75">
      <c r="A118" t="s">
        <v>19</v>
      </c>
      <c r="B118" s="4">
        <v>0</v>
      </c>
      <c r="C118" s="4">
        <v>0</v>
      </c>
      <c r="D118" s="4">
        <v>0</v>
      </c>
      <c r="E118" s="5">
        <v>525907</v>
      </c>
      <c r="F118" s="5">
        <v>136178</v>
      </c>
      <c r="G118" s="5">
        <v>131332.79</v>
      </c>
      <c r="H118" s="5">
        <v>237655</v>
      </c>
      <c r="I118" s="5">
        <v>236917.92</v>
      </c>
      <c r="J118" s="5">
        <v>737.08</v>
      </c>
    </row>
    <row r="119" spans="1:10" ht="12.75">
      <c r="A119" t="s">
        <v>20</v>
      </c>
      <c r="B119" s="4">
        <v>0</v>
      </c>
      <c r="C119" s="4">
        <v>0</v>
      </c>
      <c r="D119" s="4">
        <v>0</v>
      </c>
      <c r="E119" s="5">
        <v>-479151</v>
      </c>
      <c r="F119" s="5">
        <v>-109811</v>
      </c>
      <c r="G119" s="5">
        <v>-107754.38</v>
      </c>
      <c r="H119" s="5">
        <v>-304259</v>
      </c>
      <c r="I119" s="5">
        <v>-297397.36</v>
      </c>
      <c r="J119" s="5">
        <v>-6861.64</v>
      </c>
    </row>
    <row r="120" spans="1:10" ht="12.75">
      <c r="A120" t="s">
        <v>69</v>
      </c>
      <c r="B120" s="4">
        <v>30.88</v>
      </c>
      <c r="C120" s="4">
        <v>36.28</v>
      </c>
      <c r="D120" s="4">
        <v>24.97</v>
      </c>
      <c r="E120" s="5">
        <v>889058</v>
      </c>
      <c r="F120" s="5">
        <v>110905</v>
      </c>
      <c r="G120" s="5">
        <v>95910.18</v>
      </c>
      <c r="H120" s="5">
        <v>304360</v>
      </c>
      <c r="I120" s="5">
        <v>272618.55</v>
      </c>
      <c r="J120" s="5">
        <v>31741.45</v>
      </c>
    </row>
    <row r="121" spans="1:10" ht="12.75">
      <c r="A121" t="s">
        <v>6</v>
      </c>
      <c r="B121"/>
      <c r="C121"/>
      <c r="D121"/>
      <c r="E121"/>
      <c r="F121"/>
      <c r="G121"/>
      <c r="H121"/>
      <c r="I121"/>
      <c r="J121"/>
    </row>
    <row r="122" spans="1:10" ht="12.75">
      <c r="A122" t="s">
        <v>25</v>
      </c>
      <c r="B122" s="4">
        <v>29.51</v>
      </c>
      <c r="C122" s="4">
        <v>28.27</v>
      </c>
      <c r="D122" s="4">
        <v>28.42</v>
      </c>
      <c r="E122" s="5">
        <v>949632</v>
      </c>
      <c r="F122" s="5">
        <v>80510</v>
      </c>
      <c r="G122" s="5">
        <v>80908.77</v>
      </c>
      <c r="H122" s="5">
        <v>396444</v>
      </c>
      <c r="I122" s="5">
        <v>396444.27</v>
      </c>
      <c r="J122" s="5">
        <v>-0.27</v>
      </c>
    </row>
    <row r="123" spans="1:10" ht="12.75">
      <c r="A123" t="s">
        <v>19</v>
      </c>
      <c r="B123" s="4">
        <v>0</v>
      </c>
      <c r="C123" s="4">
        <v>0</v>
      </c>
      <c r="D123" s="4">
        <v>0</v>
      </c>
      <c r="E123" s="5">
        <v>904076</v>
      </c>
      <c r="F123" s="5">
        <v>45356</v>
      </c>
      <c r="G123" s="5">
        <v>23144.95</v>
      </c>
      <c r="H123" s="5">
        <v>494975</v>
      </c>
      <c r="I123" s="5">
        <v>454600.86</v>
      </c>
      <c r="J123" s="5">
        <v>40374.14</v>
      </c>
    </row>
    <row r="124" spans="1:10" ht="12.75">
      <c r="A124" t="s">
        <v>20</v>
      </c>
      <c r="B124" s="4">
        <v>0</v>
      </c>
      <c r="C124" s="4">
        <v>0</v>
      </c>
      <c r="D124" s="4">
        <v>0</v>
      </c>
      <c r="E124" s="5">
        <v>-619177</v>
      </c>
      <c r="F124" s="5">
        <v>-51598</v>
      </c>
      <c r="G124" s="5">
        <v>-84536.8</v>
      </c>
      <c r="H124" s="5">
        <v>-257990</v>
      </c>
      <c r="I124" s="5">
        <v>-288624.07</v>
      </c>
      <c r="J124" s="5">
        <v>30634.07</v>
      </c>
    </row>
    <row r="125" spans="1:10" ht="12.75">
      <c r="A125" t="s">
        <v>70</v>
      </c>
      <c r="B125" s="4">
        <v>29.51</v>
      </c>
      <c r="C125" s="4">
        <v>28.27</v>
      </c>
      <c r="D125" s="4">
        <v>28.42</v>
      </c>
      <c r="E125" s="5">
        <v>1234531</v>
      </c>
      <c r="F125" s="5">
        <v>74268</v>
      </c>
      <c r="G125" s="5">
        <v>19516.92</v>
      </c>
      <c r="H125" s="5">
        <v>633429</v>
      </c>
      <c r="I125" s="5">
        <v>562421.06</v>
      </c>
      <c r="J125" s="5">
        <v>71007.94</v>
      </c>
    </row>
    <row r="126" spans="1:10" ht="12.75">
      <c r="A126" t="s">
        <v>71</v>
      </c>
      <c r="B126"/>
      <c r="C126"/>
      <c r="D126"/>
      <c r="E126"/>
      <c r="F126"/>
      <c r="G126"/>
      <c r="H126"/>
      <c r="I126"/>
      <c r="J126"/>
    </row>
    <row r="127" spans="1:10" ht="12.75">
      <c r="A127" t="s">
        <v>25</v>
      </c>
      <c r="B127" s="4">
        <v>0</v>
      </c>
      <c r="C127" s="4">
        <v>0</v>
      </c>
      <c r="D127" s="4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</row>
    <row r="128" spans="1:10" ht="12.75">
      <c r="A128" t="s">
        <v>19</v>
      </c>
      <c r="B128" s="4">
        <v>0</v>
      </c>
      <c r="C128" s="4">
        <v>0</v>
      </c>
      <c r="D128" s="4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</row>
    <row r="129" spans="1:10" ht="12.75">
      <c r="A129" t="s">
        <v>20</v>
      </c>
      <c r="B129" s="4">
        <v>0</v>
      </c>
      <c r="C129" s="4">
        <v>0</v>
      </c>
      <c r="D129" s="4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</row>
    <row r="130" spans="1:10" ht="12.75">
      <c r="A130" t="s">
        <v>72</v>
      </c>
      <c r="B130" s="4">
        <v>0</v>
      </c>
      <c r="C130" s="4">
        <v>0</v>
      </c>
      <c r="D130" s="4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</row>
    <row r="131" spans="1:10" ht="12.75">
      <c r="A131" t="s">
        <v>73</v>
      </c>
      <c r="B131"/>
      <c r="C131"/>
      <c r="D131"/>
      <c r="E131"/>
      <c r="F131"/>
      <c r="G131"/>
      <c r="H131"/>
      <c r="I131"/>
      <c r="J131"/>
    </row>
    <row r="132" spans="1:10" ht="12.75">
      <c r="A132" t="s">
        <v>25</v>
      </c>
      <c r="B132" s="4">
        <v>0</v>
      </c>
      <c r="C132" s="4">
        <v>0</v>
      </c>
      <c r="D132" s="4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</row>
    <row r="133" spans="1:10" ht="12.75">
      <c r="A133" t="s">
        <v>19</v>
      </c>
      <c r="B133" s="4">
        <v>0</v>
      </c>
      <c r="C133" s="4">
        <v>0</v>
      </c>
      <c r="D133" s="4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</row>
    <row r="134" spans="1:10" ht="12.75">
      <c r="A134" t="s">
        <v>20</v>
      </c>
      <c r="B134" s="4">
        <v>0</v>
      </c>
      <c r="C134" s="4">
        <v>0</v>
      </c>
      <c r="D134" s="4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</row>
    <row r="135" spans="1:10" ht="12.75">
      <c r="A135" t="s">
        <v>74</v>
      </c>
      <c r="B135" s="4">
        <v>0</v>
      </c>
      <c r="C135" s="4">
        <v>0</v>
      </c>
      <c r="D135" s="4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</row>
    <row r="136" spans="1:10" ht="12.75">
      <c r="A136" t="s">
        <v>75</v>
      </c>
      <c r="B136"/>
      <c r="C136"/>
      <c r="D136"/>
      <c r="E136"/>
      <c r="F136"/>
      <c r="G136"/>
      <c r="H136"/>
      <c r="I136"/>
      <c r="J136"/>
    </row>
    <row r="137" spans="1:10" ht="12.75">
      <c r="A137" t="s">
        <v>25</v>
      </c>
      <c r="B137" s="4">
        <v>11.53</v>
      </c>
      <c r="C137" s="4">
        <v>10.53</v>
      </c>
      <c r="D137" s="4">
        <v>10.54</v>
      </c>
      <c r="E137" s="5">
        <v>347511</v>
      </c>
      <c r="F137" s="5">
        <v>22801</v>
      </c>
      <c r="G137" s="5">
        <v>28298.17</v>
      </c>
      <c r="H137" s="5">
        <v>141841</v>
      </c>
      <c r="I137" s="5">
        <v>136042.7</v>
      </c>
      <c r="J137" s="5">
        <v>5798.3</v>
      </c>
    </row>
    <row r="138" spans="1:10" ht="12.75">
      <c r="A138" t="s">
        <v>19</v>
      </c>
      <c r="B138" s="4">
        <v>0</v>
      </c>
      <c r="C138" s="4">
        <v>0</v>
      </c>
      <c r="D138" s="4">
        <v>0</v>
      </c>
      <c r="E138" s="5">
        <v>18430</v>
      </c>
      <c r="F138" s="5">
        <v>20</v>
      </c>
      <c r="G138" s="5">
        <v>717.45</v>
      </c>
      <c r="H138" s="5">
        <v>7328</v>
      </c>
      <c r="I138" s="5">
        <v>5242.36</v>
      </c>
      <c r="J138" s="5">
        <v>2085.64</v>
      </c>
    </row>
    <row r="139" spans="1:10" ht="12.75">
      <c r="A139" t="s">
        <v>76</v>
      </c>
      <c r="B139" s="4">
        <v>11.53</v>
      </c>
      <c r="C139" s="4">
        <v>10.53</v>
      </c>
      <c r="D139" s="4">
        <v>10.54</v>
      </c>
      <c r="E139" s="5">
        <v>365941</v>
      </c>
      <c r="F139" s="5">
        <v>22821</v>
      </c>
      <c r="G139" s="5">
        <v>29015.62</v>
      </c>
      <c r="H139" s="5">
        <v>149169</v>
      </c>
      <c r="I139" s="5">
        <v>141285.06</v>
      </c>
      <c r="J139" s="5">
        <v>7883.94</v>
      </c>
    </row>
    <row r="140" spans="1:10" ht="12.75">
      <c r="A140" t="s">
        <v>3</v>
      </c>
      <c r="B140"/>
      <c r="C140"/>
      <c r="D140"/>
      <c r="E140"/>
      <c r="F140"/>
      <c r="G140"/>
      <c r="H140"/>
      <c r="I140"/>
      <c r="J140"/>
    </row>
    <row r="141" spans="1:10" ht="12.75">
      <c r="A141" t="s">
        <v>25</v>
      </c>
      <c r="B141" s="4">
        <v>109.8</v>
      </c>
      <c r="C141" s="4">
        <v>111.06</v>
      </c>
      <c r="D141" s="4">
        <v>107</v>
      </c>
      <c r="E141" s="5">
        <v>2793052</v>
      </c>
      <c r="F141" s="5">
        <v>233681</v>
      </c>
      <c r="G141" s="5">
        <v>224011.82</v>
      </c>
      <c r="H141" s="5">
        <v>1164426</v>
      </c>
      <c r="I141" s="5">
        <v>1138947.11</v>
      </c>
      <c r="J141" s="5">
        <v>25478.89</v>
      </c>
    </row>
    <row r="142" spans="1:10" ht="12.75">
      <c r="A142" t="s">
        <v>19</v>
      </c>
      <c r="B142" s="4">
        <v>0</v>
      </c>
      <c r="C142" s="4">
        <v>0</v>
      </c>
      <c r="D142" s="4">
        <v>0</v>
      </c>
      <c r="E142" s="5">
        <v>212397</v>
      </c>
      <c r="F142" s="5">
        <v>18372</v>
      </c>
      <c r="G142" s="5">
        <v>14138.319999999925</v>
      </c>
      <c r="H142" s="5">
        <v>98758</v>
      </c>
      <c r="I142" s="5">
        <v>90880.3</v>
      </c>
      <c r="J142" s="5">
        <v>7877.7</v>
      </c>
    </row>
    <row r="143" spans="1:10" ht="12.75">
      <c r="A143" t="s">
        <v>20</v>
      </c>
      <c r="B143" s="4">
        <v>0</v>
      </c>
      <c r="C143" s="4">
        <v>0</v>
      </c>
      <c r="D143" s="4">
        <v>0</v>
      </c>
      <c r="E143" s="5">
        <v>-729415</v>
      </c>
      <c r="F143" s="5">
        <v>-79236</v>
      </c>
      <c r="G143" s="5">
        <v>-73172.74</v>
      </c>
      <c r="H143" s="5">
        <v>-447129</v>
      </c>
      <c r="I143" s="5">
        <v>-432912.05</v>
      </c>
      <c r="J143" s="5">
        <v>-14216.95</v>
      </c>
    </row>
    <row r="144" spans="1:10" ht="12.75">
      <c r="A144" t="s">
        <v>77</v>
      </c>
      <c r="B144" s="4">
        <v>109.8</v>
      </c>
      <c r="C144" s="4">
        <v>111.06</v>
      </c>
      <c r="D144" s="4">
        <v>107</v>
      </c>
      <c r="E144" s="5">
        <v>2276034</v>
      </c>
      <c r="F144" s="5">
        <v>172817</v>
      </c>
      <c r="G144" s="5">
        <v>164977.4</v>
      </c>
      <c r="H144" s="5">
        <v>816055</v>
      </c>
      <c r="I144" s="5">
        <v>796915.36</v>
      </c>
      <c r="J144" s="5">
        <v>19139.64</v>
      </c>
    </row>
    <row r="145" spans="1:10" ht="12.75">
      <c r="A145" t="s">
        <v>78</v>
      </c>
      <c r="B145"/>
      <c r="C145"/>
      <c r="D145"/>
      <c r="E145"/>
      <c r="F145"/>
      <c r="G145"/>
      <c r="H145"/>
      <c r="I145"/>
      <c r="J145"/>
    </row>
    <row r="146" spans="1:10" ht="12.75">
      <c r="A146" t="s">
        <v>25</v>
      </c>
      <c r="B146" s="4">
        <v>189.34</v>
      </c>
      <c r="C146" s="4">
        <v>185.26</v>
      </c>
      <c r="D146" s="4">
        <v>184.45</v>
      </c>
      <c r="E146" s="5">
        <v>5121245</v>
      </c>
      <c r="F146" s="5">
        <v>420717</v>
      </c>
      <c r="G146" s="5">
        <v>411305.88</v>
      </c>
      <c r="H146" s="5">
        <v>2159913</v>
      </c>
      <c r="I146" s="5">
        <v>2101008.99</v>
      </c>
      <c r="J146" s="5">
        <v>58904.01</v>
      </c>
    </row>
    <row r="147" spans="1:10" ht="12.75">
      <c r="A147" t="s">
        <v>19</v>
      </c>
      <c r="B147" s="4">
        <v>0</v>
      </c>
      <c r="C147" s="4">
        <v>0</v>
      </c>
      <c r="D147" s="4">
        <v>0</v>
      </c>
      <c r="E147" s="5">
        <v>238241</v>
      </c>
      <c r="F147" s="5">
        <v>25048</v>
      </c>
      <c r="G147" s="5">
        <v>15741.52</v>
      </c>
      <c r="H147" s="5">
        <v>112232</v>
      </c>
      <c r="I147" s="5">
        <v>112767.94</v>
      </c>
      <c r="J147" s="5">
        <v>-535.9400000000012</v>
      </c>
    </row>
    <row r="148" spans="1:10" ht="12.75">
      <c r="A148" t="s">
        <v>20</v>
      </c>
      <c r="B148" s="4">
        <v>0</v>
      </c>
      <c r="C148" s="4">
        <v>0</v>
      </c>
      <c r="D148" s="4">
        <v>0</v>
      </c>
      <c r="E148" s="5">
        <v>-537625</v>
      </c>
      <c r="F148" s="5">
        <v>-35507</v>
      </c>
      <c r="G148" s="5">
        <v>-42363.18</v>
      </c>
      <c r="H148" s="5">
        <v>-180999</v>
      </c>
      <c r="I148" s="5">
        <v>-155061.49</v>
      </c>
      <c r="J148" s="5">
        <v>-25937.51</v>
      </c>
    </row>
    <row r="149" spans="1:10" ht="12.75">
      <c r="A149" t="s">
        <v>79</v>
      </c>
      <c r="B149" s="4">
        <v>189.34</v>
      </c>
      <c r="C149" s="4">
        <v>185.26</v>
      </c>
      <c r="D149" s="4">
        <v>184.45</v>
      </c>
      <c r="E149" s="5">
        <v>4821861</v>
      </c>
      <c r="F149" s="5">
        <v>410258</v>
      </c>
      <c r="G149" s="5">
        <v>384684.22</v>
      </c>
      <c r="H149" s="5">
        <v>2091146</v>
      </c>
      <c r="I149" s="5">
        <v>2058715.44</v>
      </c>
      <c r="J149" s="5">
        <v>32430.56</v>
      </c>
    </row>
    <row r="150" spans="1:10" ht="12.75">
      <c r="A150" t="s">
        <v>80</v>
      </c>
      <c r="B150" s="4">
        <v>811.03</v>
      </c>
      <c r="C150" s="4">
        <v>779.48</v>
      </c>
      <c r="D150" s="4">
        <v>815.48</v>
      </c>
      <c r="E150" s="5">
        <v>22739964</v>
      </c>
      <c r="F150" s="5">
        <v>1921606</v>
      </c>
      <c r="G150" s="5">
        <v>1887430.09</v>
      </c>
      <c r="H150" s="5">
        <v>9985917</v>
      </c>
      <c r="I150" s="5">
        <v>9846624.05</v>
      </c>
      <c r="J150" s="5">
        <v>139292.95</v>
      </c>
    </row>
    <row r="151" spans="1:10" ht="12.75">
      <c r="A151" t="s">
        <v>9</v>
      </c>
      <c r="B151"/>
      <c r="C151"/>
      <c r="D151"/>
      <c r="E151"/>
      <c r="F151"/>
      <c r="G151"/>
      <c r="H151"/>
      <c r="I151"/>
      <c r="J151"/>
    </row>
    <row r="152" spans="1:10" ht="12.75">
      <c r="A152" t="s">
        <v>81</v>
      </c>
      <c r="B152"/>
      <c r="C152"/>
      <c r="D152"/>
      <c r="E152"/>
      <c r="F152"/>
      <c r="G152"/>
      <c r="H152"/>
      <c r="I152"/>
      <c r="J152"/>
    </row>
    <row r="153" spans="1:10" ht="12.75">
      <c r="A153" t="s">
        <v>25</v>
      </c>
      <c r="B153" s="4">
        <v>14.34</v>
      </c>
      <c r="C153" s="4">
        <v>13.48</v>
      </c>
      <c r="D153" s="4">
        <v>11.48</v>
      </c>
      <c r="E153" s="5">
        <v>374354</v>
      </c>
      <c r="F153" s="5">
        <v>32444</v>
      </c>
      <c r="G153" s="5">
        <v>33030.37</v>
      </c>
      <c r="H153" s="5">
        <v>157814</v>
      </c>
      <c r="I153" s="5">
        <v>157243.59</v>
      </c>
      <c r="J153" s="5">
        <v>570.4099999999988</v>
      </c>
    </row>
    <row r="154" spans="1:10" ht="12.75">
      <c r="A154" t="s">
        <v>19</v>
      </c>
      <c r="B154" s="4">
        <v>0</v>
      </c>
      <c r="C154" s="4">
        <v>0</v>
      </c>
      <c r="D154" s="4">
        <v>0</v>
      </c>
      <c r="E154" s="5">
        <v>83699</v>
      </c>
      <c r="F154" s="5">
        <v>6975</v>
      </c>
      <c r="G154" s="5">
        <v>15910.93</v>
      </c>
      <c r="H154" s="5">
        <v>34875</v>
      </c>
      <c r="I154" s="5">
        <v>69079.5</v>
      </c>
      <c r="J154" s="5">
        <v>-34204.5</v>
      </c>
    </row>
    <row r="155" spans="1:10" ht="12.75">
      <c r="A155" t="s">
        <v>20</v>
      </c>
      <c r="B155" s="4">
        <v>0</v>
      </c>
      <c r="C155" s="4">
        <v>0</v>
      </c>
      <c r="D155" s="4">
        <v>0</v>
      </c>
      <c r="E155" s="5">
        <v>-43340</v>
      </c>
      <c r="F155" s="5">
        <v>-3612</v>
      </c>
      <c r="G155" s="5">
        <v>-2709.05</v>
      </c>
      <c r="H155" s="5">
        <v>-18060</v>
      </c>
      <c r="I155" s="5">
        <v>-12289.05</v>
      </c>
      <c r="J155" s="5">
        <v>-5770.95</v>
      </c>
    </row>
    <row r="156" spans="1:10" ht="12.75">
      <c r="A156" t="s">
        <v>82</v>
      </c>
      <c r="B156" s="4">
        <v>14.34</v>
      </c>
      <c r="C156" s="4">
        <v>13.48</v>
      </c>
      <c r="D156" s="4">
        <v>11.48</v>
      </c>
      <c r="E156" s="5">
        <v>414713</v>
      </c>
      <c r="F156" s="5">
        <v>35807</v>
      </c>
      <c r="G156" s="5">
        <v>46232.25</v>
      </c>
      <c r="H156" s="5">
        <v>174629</v>
      </c>
      <c r="I156" s="5">
        <v>214034.04</v>
      </c>
      <c r="J156" s="5">
        <v>-39405.04</v>
      </c>
    </row>
    <row r="157" spans="1:10" ht="12.75">
      <c r="A157" t="s">
        <v>83</v>
      </c>
      <c r="B157"/>
      <c r="C157"/>
      <c r="D157"/>
      <c r="E157"/>
      <c r="F157"/>
      <c r="G157"/>
      <c r="H157"/>
      <c r="I157"/>
      <c r="J157"/>
    </row>
    <row r="158" spans="1:10" ht="12.75">
      <c r="A158" t="s">
        <v>25</v>
      </c>
      <c r="B158" s="4">
        <v>34.52</v>
      </c>
      <c r="C158" s="4">
        <v>35.13</v>
      </c>
      <c r="D158" s="4">
        <v>34.11</v>
      </c>
      <c r="E158" s="5">
        <v>904218</v>
      </c>
      <c r="F158" s="5">
        <v>95656</v>
      </c>
      <c r="G158" s="5">
        <v>81628.25</v>
      </c>
      <c r="H158" s="5">
        <v>395971</v>
      </c>
      <c r="I158" s="5">
        <v>399411.49</v>
      </c>
      <c r="J158" s="5">
        <v>-3440.49</v>
      </c>
    </row>
    <row r="159" spans="1:10" ht="12.75">
      <c r="A159" t="s">
        <v>19</v>
      </c>
      <c r="B159" s="4">
        <v>0</v>
      </c>
      <c r="C159" s="4">
        <v>0</v>
      </c>
      <c r="D159" s="4">
        <v>0</v>
      </c>
      <c r="E159" s="5">
        <v>179961</v>
      </c>
      <c r="F159" s="5">
        <v>32454</v>
      </c>
      <c r="G159" s="5">
        <v>34564.14</v>
      </c>
      <c r="H159" s="5">
        <v>69716</v>
      </c>
      <c r="I159" s="5">
        <v>71556.02000000012</v>
      </c>
      <c r="J159" s="5">
        <v>-1840.0200000001212</v>
      </c>
    </row>
    <row r="160" spans="1:10" ht="12.75">
      <c r="A160" t="s">
        <v>20</v>
      </c>
      <c r="B160" s="4">
        <v>0</v>
      </c>
      <c r="C160" s="4">
        <v>0</v>
      </c>
      <c r="D160" s="4">
        <v>0</v>
      </c>
      <c r="E160" s="5">
        <v>-203412</v>
      </c>
      <c r="F160" s="5">
        <v>-17097</v>
      </c>
      <c r="G160" s="5">
        <v>-15382</v>
      </c>
      <c r="H160" s="5">
        <v>-85485</v>
      </c>
      <c r="I160" s="5">
        <v>-86074.74</v>
      </c>
      <c r="J160" s="5">
        <v>589.74</v>
      </c>
    </row>
    <row r="161" spans="1:10" ht="12.75">
      <c r="A161" t="s">
        <v>84</v>
      </c>
      <c r="B161" s="4">
        <v>34.52</v>
      </c>
      <c r="C161" s="4">
        <v>35.13</v>
      </c>
      <c r="D161" s="4">
        <v>34.11</v>
      </c>
      <c r="E161" s="5">
        <v>880767</v>
      </c>
      <c r="F161" s="5">
        <v>111013</v>
      </c>
      <c r="G161" s="5">
        <v>100810.39</v>
      </c>
      <c r="H161" s="5">
        <v>380202</v>
      </c>
      <c r="I161" s="5">
        <v>384892.77</v>
      </c>
      <c r="J161" s="5">
        <v>-4690.770000000121</v>
      </c>
    </row>
    <row r="162" spans="1:10" ht="12.75">
      <c r="A162" t="s">
        <v>85</v>
      </c>
      <c r="B162"/>
      <c r="C162"/>
      <c r="D162"/>
      <c r="E162"/>
      <c r="F162"/>
      <c r="G162"/>
      <c r="H162"/>
      <c r="I162"/>
      <c r="J162"/>
    </row>
    <row r="163" spans="1:10" ht="12.75">
      <c r="A163" t="s">
        <v>25</v>
      </c>
      <c r="B163" s="4">
        <v>82.54</v>
      </c>
      <c r="C163" s="4">
        <v>81.14</v>
      </c>
      <c r="D163" s="4">
        <v>77.57</v>
      </c>
      <c r="E163" s="5">
        <v>2237817</v>
      </c>
      <c r="F163" s="5">
        <v>173802</v>
      </c>
      <c r="G163" s="5">
        <v>209407.38</v>
      </c>
      <c r="H163" s="5">
        <v>936184</v>
      </c>
      <c r="I163" s="5">
        <v>908085.86</v>
      </c>
      <c r="J163" s="5">
        <v>28098.14</v>
      </c>
    </row>
    <row r="164" spans="1:10" ht="12.75">
      <c r="A164" t="s">
        <v>19</v>
      </c>
      <c r="B164" s="4">
        <v>-13.67</v>
      </c>
      <c r="C164" s="4">
        <v>0</v>
      </c>
      <c r="D164" s="4">
        <v>0</v>
      </c>
      <c r="E164" s="5">
        <v>7492931</v>
      </c>
      <c r="F164" s="5">
        <v>-639694</v>
      </c>
      <c r="G164" s="5">
        <v>413201.01</v>
      </c>
      <c r="H164" s="5">
        <v>-1472870</v>
      </c>
      <c r="I164" s="5">
        <v>4447067.17</v>
      </c>
      <c r="J164" s="5">
        <v>-5919937.17</v>
      </c>
    </row>
    <row r="165" spans="1:10" ht="12.75">
      <c r="A165" t="s">
        <v>20</v>
      </c>
      <c r="B165" s="4">
        <v>0</v>
      </c>
      <c r="C165" s="4">
        <v>0</v>
      </c>
      <c r="D165" s="4">
        <v>0</v>
      </c>
      <c r="E165" s="5">
        <v>-1133134</v>
      </c>
      <c r="F165" s="5">
        <v>-36694</v>
      </c>
      <c r="G165" s="5">
        <v>-30909.87</v>
      </c>
      <c r="H165" s="5">
        <v>-359405</v>
      </c>
      <c r="I165" s="5">
        <v>-353566.62</v>
      </c>
      <c r="J165" s="5">
        <v>-5838.379999999963</v>
      </c>
    </row>
    <row r="166" spans="1:10" ht="12.75">
      <c r="A166" t="s">
        <v>86</v>
      </c>
      <c r="B166" s="4">
        <v>68.87</v>
      </c>
      <c r="C166" s="4">
        <v>81.14</v>
      </c>
      <c r="D166" s="4">
        <v>77.57</v>
      </c>
      <c r="E166" s="5">
        <v>8597614</v>
      </c>
      <c r="F166" s="5">
        <v>-502586</v>
      </c>
      <c r="G166" s="5">
        <v>591698.52</v>
      </c>
      <c r="H166" s="5">
        <v>-896091</v>
      </c>
      <c r="I166" s="5">
        <v>5001586.41</v>
      </c>
      <c r="J166" s="5">
        <v>-5897677.41</v>
      </c>
    </row>
    <row r="167" spans="1:10" ht="12.75">
      <c r="A167" t="s">
        <v>87</v>
      </c>
      <c r="B167"/>
      <c r="C167"/>
      <c r="D167"/>
      <c r="E167"/>
      <c r="F167"/>
      <c r="G167"/>
      <c r="H167"/>
      <c r="I167"/>
      <c r="J167"/>
    </row>
    <row r="168" spans="1:10" ht="12.75">
      <c r="A168" t="s">
        <v>25</v>
      </c>
      <c r="B168" s="4">
        <v>31.94</v>
      </c>
      <c r="C168" s="4">
        <v>32.21</v>
      </c>
      <c r="D168" s="4">
        <v>31.1</v>
      </c>
      <c r="E168" s="5">
        <v>878960</v>
      </c>
      <c r="F168" s="5">
        <v>81760</v>
      </c>
      <c r="G168" s="5">
        <v>79363.04</v>
      </c>
      <c r="H168" s="5">
        <v>384864</v>
      </c>
      <c r="I168" s="5">
        <v>366680.38</v>
      </c>
      <c r="J168" s="5">
        <v>18183.62</v>
      </c>
    </row>
    <row r="169" spans="1:10" ht="12.75">
      <c r="A169" t="s">
        <v>19</v>
      </c>
      <c r="B169" s="4">
        <v>1</v>
      </c>
      <c r="C169" s="4">
        <v>1</v>
      </c>
      <c r="D169" s="4">
        <v>1</v>
      </c>
      <c r="E169" s="5">
        <v>468062</v>
      </c>
      <c r="F169" s="5">
        <v>36659</v>
      </c>
      <c r="G169" s="5">
        <v>26057.54</v>
      </c>
      <c r="H169" s="5">
        <v>136188</v>
      </c>
      <c r="I169" s="5">
        <v>150622.29</v>
      </c>
      <c r="J169" s="5">
        <v>-14434.29</v>
      </c>
    </row>
    <row r="170" spans="1:10" ht="12.75">
      <c r="A170" t="s">
        <v>20</v>
      </c>
      <c r="B170" s="4">
        <v>0</v>
      </c>
      <c r="C170" s="4">
        <v>0</v>
      </c>
      <c r="D170" s="4">
        <v>0</v>
      </c>
      <c r="E170" s="5">
        <v>-60887</v>
      </c>
      <c r="F170" s="5">
        <v>-4607</v>
      </c>
      <c r="G170" s="5">
        <v>-4395.29</v>
      </c>
      <c r="H170" s="5">
        <v>-28640</v>
      </c>
      <c r="I170" s="5">
        <v>-27373.48</v>
      </c>
      <c r="J170" s="5">
        <v>-1266.52</v>
      </c>
    </row>
    <row r="171" spans="1:10" ht="12.75">
      <c r="A171" t="s">
        <v>88</v>
      </c>
      <c r="B171" s="4">
        <v>32.94</v>
      </c>
      <c r="C171" s="4">
        <v>33.21</v>
      </c>
      <c r="D171" s="4">
        <v>32.1</v>
      </c>
      <c r="E171" s="5">
        <v>1286135</v>
      </c>
      <c r="F171" s="5">
        <v>113812</v>
      </c>
      <c r="G171" s="5">
        <v>101025.29</v>
      </c>
      <c r="H171" s="5">
        <v>492412</v>
      </c>
      <c r="I171" s="5">
        <v>489929.19</v>
      </c>
      <c r="J171" s="5">
        <v>2482.81</v>
      </c>
    </row>
    <row r="172" spans="1:10" ht="12.75">
      <c r="A172" t="s">
        <v>4</v>
      </c>
      <c r="B172"/>
      <c r="C172"/>
      <c r="D172"/>
      <c r="E172"/>
      <c r="F172"/>
      <c r="G172"/>
      <c r="H172"/>
      <c r="I172"/>
      <c r="J172"/>
    </row>
    <row r="173" spans="1:10" ht="12.75">
      <c r="A173" t="s">
        <v>25</v>
      </c>
      <c r="B173" s="4">
        <v>27.98</v>
      </c>
      <c r="C173" s="4">
        <v>31.22</v>
      </c>
      <c r="D173" s="4">
        <v>29.01</v>
      </c>
      <c r="E173" s="5">
        <v>917266</v>
      </c>
      <c r="F173" s="5">
        <v>77652</v>
      </c>
      <c r="G173" s="5">
        <v>86094.58</v>
      </c>
      <c r="H173" s="5">
        <v>403097</v>
      </c>
      <c r="I173" s="5">
        <v>403040.23</v>
      </c>
      <c r="J173" s="5">
        <v>56.77000000000233</v>
      </c>
    </row>
    <row r="174" spans="1:10" ht="12.75">
      <c r="A174" t="s">
        <v>19</v>
      </c>
      <c r="B174" s="4">
        <v>0</v>
      </c>
      <c r="C174" s="4">
        <v>0</v>
      </c>
      <c r="D174" s="4">
        <v>0</v>
      </c>
      <c r="E174" s="5">
        <v>1329541</v>
      </c>
      <c r="F174" s="5">
        <v>52548</v>
      </c>
      <c r="G174" s="5">
        <v>82941.57</v>
      </c>
      <c r="H174" s="5">
        <v>206881</v>
      </c>
      <c r="I174" s="5">
        <v>274101.51</v>
      </c>
      <c r="J174" s="5">
        <v>-67220.51</v>
      </c>
    </row>
    <row r="175" spans="1:10" ht="12.75">
      <c r="A175" t="s">
        <v>20</v>
      </c>
      <c r="B175" s="4">
        <v>0</v>
      </c>
      <c r="C175" s="4">
        <v>0</v>
      </c>
      <c r="D175" s="4">
        <v>0</v>
      </c>
      <c r="E175" s="5">
        <v>-5193537</v>
      </c>
      <c r="F175" s="5">
        <v>-442926</v>
      </c>
      <c r="G175" s="5">
        <v>-435788.47</v>
      </c>
      <c r="H175" s="5">
        <v>-2173278</v>
      </c>
      <c r="I175" s="5">
        <v>-2165797.97</v>
      </c>
      <c r="J175" s="5">
        <v>-7480.03</v>
      </c>
    </row>
    <row r="176" spans="1:10" ht="12.75">
      <c r="A176" t="s">
        <v>89</v>
      </c>
      <c r="B176" s="4">
        <v>27.98</v>
      </c>
      <c r="C176" s="4">
        <v>31.22</v>
      </c>
      <c r="D176" s="4">
        <v>29.01</v>
      </c>
      <c r="E176" s="5">
        <v>-2946730</v>
      </c>
      <c r="F176" s="5">
        <v>-312726</v>
      </c>
      <c r="G176" s="5">
        <v>-266752.32</v>
      </c>
      <c r="H176" s="5">
        <v>-1563300</v>
      </c>
      <c r="I176" s="5">
        <v>-1488656.23</v>
      </c>
      <c r="J176" s="5">
        <v>-74643.77</v>
      </c>
    </row>
    <row r="177" spans="1:10" ht="12.75">
      <c r="A177" t="s">
        <v>90</v>
      </c>
      <c r="B177" s="4">
        <v>178.65</v>
      </c>
      <c r="C177" s="4">
        <v>194.18</v>
      </c>
      <c r="D177" s="4">
        <v>184.27</v>
      </c>
      <c r="E177" s="5">
        <v>8232499</v>
      </c>
      <c r="F177" s="5">
        <v>-554680</v>
      </c>
      <c r="G177" s="5">
        <v>573014.13</v>
      </c>
      <c r="H177" s="5">
        <v>-1412148</v>
      </c>
      <c r="I177" s="5">
        <v>4601786.18</v>
      </c>
      <c r="J177" s="5">
        <v>-6013934.18</v>
      </c>
    </row>
    <row r="178" spans="1:10" ht="12.75">
      <c r="A178" t="s">
        <v>91</v>
      </c>
      <c r="B178" s="6">
        <v>4085.59</v>
      </c>
      <c r="C178" s="6">
        <v>4130.83</v>
      </c>
      <c r="D178" s="6">
        <v>4091.56</v>
      </c>
      <c r="E178" s="6">
        <v>0</v>
      </c>
      <c r="F178" s="6">
        <v>-630820</v>
      </c>
      <c r="G178" s="6">
        <v>18186.59</v>
      </c>
      <c r="H178" s="6">
        <v>-2379385</v>
      </c>
      <c r="I178" s="6">
        <v>3920524.63</v>
      </c>
      <c r="J178" s="6">
        <v>-6299909.63</v>
      </c>
    </row>
    <row r="179" spans="1:10" ht="12.75">
      <c r="A179" t="s">
        <v>99</v>
      </c>
      <c r="B179" t="s">
        <v>92</v>
      </c>
      <c r="C179"/>
      <c r="D179"/>
      <c r="E179"/>
      <c r="F179"/>
      <c r="G179"/>
      <c r="H179"/>
      <c r="I179"/>
      <c r="J179"/>
    </row>
    <row r="180" spans="1:10" ht="12.75">
      <c r="A180" t="s">
        <v>93</v>
      </c>
      <c r="B180" s="7">
        <v>38609</v>
      </c>
      <c r="C180" s="8">
        <v>36494.48229166667</v>
      </c>
      <c r="D180"/>
      <c r="E180"/>
      <c r="F180"/>
      <c r="G180"/>
      <c r="H180"/>
      <c r="I180"/>
      <c r="J180"/>
    </row>
  </sheetData>
  <printOptions/>
  <pageMargins left="0" right="0" top="0" bottom="0" header="0" footer="0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Z63"/>
  <sheetViews>
    <sheetView view="pageBreakPreview" zoomScaleNormal="75" zoomScaleSheetLayoutView="100" workbookViewId="0" topLeftCell="A5">
      <selection activeCell="A5" sqref="A1:IV16384"/>
    </sheetView>
  </sheetViews>
  <sheetFormatPr defaultColWidth="9.140625" defaultRowHeight="12.75"/>
  <cols>
    <col min="1" max="1" width="12.00390625" style="48" customWidth="1"/>
    <col min="2" max="3" width="10.57421875" style="48" customWidth="1"/>
    <col min="4" max="4" width="11.00390625" style="48" customWidth="1"/>
    <col min="5" max="5" width="2.7109375" style="14" hidden="1" customWidth="1"/>
    <col min="6" max="6" width="30.8515625" style="57" customWidth="1"/>
    <col min="7" max="7" width="2.00390625" style="57" hidden="1" customWidth="1"/>
    <col min="8" max="8" width="13.7109375" style="57" hidden="1" customWidth="1"/>
    <col min="9" max="9" width="3.00390625" style="57" hidden="1" customWidth="1"/>
    <col min="10" max="10" width="13.7109375" style="48" hidden="1" customWidth="1"/>
    <col min="11" max="11" width="1.7109375" style="48" hidden="1" customWidth="1"/>
    <col min="12" max="12" width="13.7109375" style="48" hidden="1" customWidth="1"/>
    <col min="13" max="13" width="2.8515625" style="57" hidden="1" customWidth="1"/>
    <col min="14" max="14" width="2.421875" style="57" hidden="1" customWidth="1"/>
    <col min="15" max="16" width="10.7109375" style="57" customWidth="1"/>
    <col min="17" max="17" width="11.140625" style="57" customWidth="1"/>
    <col min="18" max="18" width="1.8515625" style="57" hidden="1" customWidth="1"/>
    <col min="19" max="19" width="11.00390625" style="57" bestFit="1" customWidth="1"/>
    <col min="20" max="20" width="1.28515625" style="57" customWidth="1"/>
    <col min="21" max="21" width="11.7109375" style="57" customWidth="1"/>
    <col min="22" max="22" width="0" style="57" hidden="1" customWidth="1"/>
    <col min="23" max="23" width="12.7109375" style="57" customWidth="1"/>
    <col min="24" max="25" width="9.140625" style="11" customWidth="1"/>
    <col min="26" max="26" width="9.7109375" style="11" customWidth="1"/>
    <col min="27" max="16384" width="9.140625" style="11" customWidth="1"/>
  </cols>
  <sheetData>
    <row r="1" spans="1:23" s="13" customFormat="1" ht="23.25">
      <c r="A1" s="47"/>
      <c r="B1" s="47"/>
      <c r="C1" s="47"/>
      <c r="D1" s="47"/>
      <c r="E1" s="12"/>
      <c r="F1" s="56"/>
      <c r="G1" s="56"/>
      <c r="H1" s="56"/>
      <c r="I1" s="56"/>
      <c r="J1" s="54"/>
      <c r="K1" s="54"/>
      <c r="L1" s="54"/>
      <c r="M1" s="56"/>
      <c r="N1" s="56"/>
      <c r="O1" s="56"/>
      <c r="P1" s="56"/>
      <c r="Q1" s="56"/>
      <c r="R1" s="56"/>
      <c r="T1" s="55"/>
      <c r="U1" s="56" t="s">
        <v>120</v>
      </c>
      <c r="V1" s="55"/>
      <c r="W1" s="55"/>
    </row>
    <row r="2" spans="1:23" s="13" customFormat="1" ht="23.25">
      <c r="A2" s="531" t="s">
        <v>102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1"/>
    </row>
    <row r="3" spans="1:23" s="13" customFormat="1" ht="23.25">
      <c r="A3" s="531" t="s">
        <v>194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531"/>
      <c r="Q3" s="531"/>
      <c r="R3" s="531"/>
      <c r="S3" s="531"/>
      <c r="T3" s="531"/>
      <c r="U3" s="531"/>
      <c r="V3" s="531"/>
      <c r="W3" s="531"/>
    </row>
    <row r="4" spans="1:23" s="13" customFormat="1" ht="24" thickBot="1">
      <c r="A4" s="47"/>
      <c r="B4" s="47"/>
      <c r="C4" s="47"/>
      <c r="D4" s="47"/>
      <c r="E4" s="12"/>
      <c r="F4" s="56"/>
      <c r="G4" s="56"/>
      <c r="H4" s="56"/>
      <c r="I4" s="56"/>
      <c r="J4" s="54"/>
      <c r="K4" s="54"/>
      <c r="L4" s="54"/>
      <c r="M4" s="56"/>
      <c r="N4" s="56"/>
      <c r="O4" s="56"/>
      <c r="P4" s="56"/>
      <c r="Q4" s="56"/>
      <c r="R4" s="56"/>
      <c r="S4" s="56"/>
      <c r="T4" s="55"/>
      <c r="U4" s="55"/>
      <c r="V4" s="55"/>
      <c r="W4" s="55"/>
    </row>
    <row r="5" spans="1:23" s="13" customFormat="1" ht="24" customHeight="1" thickTop="1">
      <c r="A5" s="532" t="s">
        <v>152</v>
      </c>
      <c r="B5" s="533"/>
      <c r="C5" s="533"/>
      <c r="D5" s="534"/>
      <c r="E5" s="105"/>
      <c r="F5" s="131"/>
      <c r="G5" s="106"/>
      <c r="H5" s="106"/>
      <c r="I5" s="106"/>
      <c r="J5" s="107"/>
      <c r="K5" s="107"/>
      <c r="L5" s="107"/>
      <c r="M5" s="106"/>
      <c r="N5" s="535" t="s">
        <v>153</v>
      </c>
      <c r="O5" s="535"/>
      <c r="P5" s="535"/>
      <c r="Q5" s="535"/>
      <c r="R5" s="535"/>
      <c r="S5" s="536"/>
      <c r="T5" s="55"/>
      <c r="U5" s="537" t="s">
        <v>154</v>
      </c>
      <c r="V5" s="106"/>
      <c r="W5" s="539" t="s">
        <v>155</v>
      </c>
    </row>
    <row r="6" spans="1:23" s="13" customFormat="1" ht="39.75" customHeight="1">
      <c r="A6" s="108" t="s">
        <v>156</v>
      </c>
      <c r="B6" s="49" t="s">
        <v>157</v>
      </c>
      <c r="C6" s="197" t="s">
        <v>5</v>
      </c>
      <c r="D6" s="179" t="s">
        <v>187</v>
      </c>
      <c r="E6" s="172"/>
      <c r="F6" s="133"/>
      <c r="G6" s="109"/>
      <c r="H6" s="59" t="s">
        <v>123</v>
      </c>
      <c r="I6" s="60"/>
      <c r="J6" s="61" t="s">
        <v>131</v>
      </c>
      <c r="K6" s="61"/>
      <c r="L6" s="61" t="s">
        <v>132</v>
      </c>
      <c r="M6" s="183"/>
      <c r="N6" s="62"/>
      <c r="O6" s="62" t="s">
        <v>95</v>
      </c>
      <c r="P6" s="61" t="s">
        <v>96</v>
      </c>
      <c r="Q6" s="110" t="s">
        <v>5</v>
      </c>
      <c r="R6" s="110" t="s">
        <v>5</v>
      </c>
      <c r="S6" s="201" t="s">
        <v>188</v>
      </c>
      <c r="T6" s="111"/>
      <c r="U6" s="538"/>
      <c r="V6" s="111"/>
      <c r="W6" s="540"/>
    </row>
    <row r="7" spans="1:23" s="13" customFormat="1" ht="24" thickBot="1">
      <c r="A7" s="112" t="s">
        <v>0</v>
      </c>
      <c r="B7" s="50" t="s">
        <v>0</v>
      </c>
      <c r="C7" s="198" t="s">
        <v>0</v>
      </c>
      <c r="D7" s="142" t="s">
        <v>0</v>
      </c>
      <c r="E7" s="173"/>
      <c r="F7" s="146"/>
      <c r="G7" s="113"/>
      <c r="H7" s="63" t="s">
        <v>0</v>
      </c>
      <c r="I7" s="64"/>
      <c r="J7" s="65" t="s">
        <v>0</v>
      </c>
      <c r="K7" s="65"/>
      <c r="L7" s="65" t="s">
        <v>0</v>
      </c>
      <c r="M7" s="184"/>
      <c r="N7" s="66"/>
      <c r="O7" s="66" t="s">
        <v>0</v>
      </c>
      <c r="P7" s="66" t="s">
        <v>0</v>
      </c>
      <c r="Q7" s="114" t="s">
        <v>0</v>
      </c>
      <c r="R7" s="114" t="s">
        <v>0</v>
      </c>
      <c r="S7" s="191" t="s">
        <v>0</v>
      </c>
      <c r="T7" s="57"/>
      <c r="U7" s="128" t="s">
        <v>0</v>
      </c>
      <c r="V7" s="57"/>
      <c r="W7" s="129" t="s">
        <v>0</v>
      </c>
    </row>
    <row r="8" spans="1:23" ht="18.75" thickTop="1">
      <c r="A8" s="115"/>
      <c r="B8" s="116"/>
      <c r="C8" s="199"/>
      <c r="D8" s="141"/>
      <c r="E8" s="174"/>
      <c r="F8" s="145"/>
      <c r="G8" s="109"/>
      <c r="H8" s="117"/>
      <c r="I8" s="58"/>
      <c r="J8" s="116"/>
      <c r="K8" s="116"/>
      <c r="L8" s="116"/>
      <c r="M8" s="185"/>
      <c r="N8" s="58"/>
      <c r="O8" s="58"/>
      <c r="P8" s="58"/>
      <c r="Q8" s="118"/>
      <c r="R8" s="118"/>
      <c r="S8" s="192"/>
      <c r="U8" s="130"/>
      <c r="V8" s="131" t="s">
        <v>121</v>
      </c>
      <c r="W8" s="131"/>
    </row>
    <row r="9" spans="1:23" ht="18">
      <c r="A9" s="119"/>
      <c r="B9" s="51"/>
      <c r="C9" s="169"/>
      <c r="D9" s="143"/>
      <c r="E9" s="175"/>
      <c r="F9" s="134" t="s">
        <v>1</v>
      </c>
      <c r="G9" s="170"/>
      <c r="H9" s="68"/>
      <c r="I9" s="67"/>
      <c r="J9" s="51"/>
      <c r="K9" s="51"/>
      <c r="L9" s="51"/>
      <c r="M9" s="186"/>
      <c r="N9" s="67"/>
      <c r="O9" s="67"/>
      <c r="P9" s="67"/>
      <c r="Q9" s="120"/>
      <c r="R9" s="120"/>
      <c r="S9" s="171"/>
      <c r="U9" s="132"/>
      <c r="V9" s="133"/>
      <c r="W9" s="133"/>
    </row>
    <row r="10" spans="1:23" ht="18">
      <c r="A10" s="119"/>
      <c r="B10" s="51"/>
      <c r="C10" s="169"/>
      <c r="D10" s="143"/>
      <c r="E10" s="175"/>
      <c r="F10" s="133"/>
      <c r="G10" s="101"/>
      <c r="H10" s="68"/>
      <c r="I10" s="67"/>
      <c r="J10" s="51"/>
      <c r="K10" s="51"/>
      <c r="L10" s="51"/>
      <c r="M10" s="186"/>
      <c r="N10" s="67"/>
      <c r="O10" s="67"/>
      <c r="P10" s="67"/>
      <c r="Q10" s="120"/>
      <c r="R10" s="120"/>
      <c r="S10" s="171"/>
      <c r="U10" s="132"/>
      <c r="V10" s="133"/>
      <c r="W10" s="133"/>
    </row>
    <row r="11" spans="1:23" ht="18">
      <c r="A11" s="180">
        <f aca="true" t="shared" si="0" ref="A11:B14">+O11-0</f>
        <v>15399</v>
      </c>
      <c r="B11" s="51">
        <f t="shared" si="0"/>
        <v>15239</v>
      </c>
      <c r="C11" s="169">
        <f>+B11-A11</f>
        <v>-160</v>
      </c>
      <c r="D11" s="143">
        <v>14303</v>
      </c>
      <c r="E11" s="175"/>
      <c r="F11" s="133" t="s">
        <v>195</v>
      </c>
      <c r="G11" s="101"/>
      <c r="H11" s="68">
        <v>162675</v>
      </c>
      <c r="I11" s="67"/>
      <c r="J11" s="51">
        <f>168225-59+7735</f>
        <v>175901</v>
      </c>
      <c r="K11" s="51"/>
      <c r="L11" s="51">
        <v>175901</v>
      </c>
      <c r="M11" s="186"/>
      <c r="N11" s="67"/>
      <c r="O11" s="67">
        <v>15399</v>
      </c>
      <c r="P11" s="67">
        <v>15239</v>
      </c>
      <c r="Q11" s="120">
        <f>+P11-O11</f>
        <v>-160</v>
      </c>
      <c r="R11" s="120">
        <f>+P11-N11</f>
        <v>15239</v>
      </c>
      <c r="S11" s="171">
        <v>14303</v>
      </c>
      <c r="U11" s="119">
        <v>184782</v>
      </c>
      <c r="V11" s="57">
        <f>+S11-D11</f>
        <v>0</v>
      </c>
      <c r="W11" s="133"/>
    </row>
    <row r="12" spans="1:23" ht="18">
      <c r="A12" s="180">
        <f t="shared" si="0"/>
        <v>766</v>
      </c>
      <c r="B12" s="51">
        <f t="shared" si="0"/>
        <v>766</v>
      </c>
      <c r="C12" s="169">
        <f>+B12-A12</f>
        <v>0</v>
      </c>
      <c r="D12" s="143">
        <v>442</v>
      </c>
      <c r="E12" s="175"/>
      <c r="F12" s="133" t="s">
        <v>196</v>
      </c>
      <c r="G12" s="101"/>
      <c r="H12" s="70">
        <v>2599</v>
      </c>
      <c r="I12" s="67"/>
      <c r="J12" s="51">
        <v>2331</v>
      </c>
      <c r="K12" s="51"/>
      <c r="L12" s="51">
        <v>2331</v>
      </c>
      <c r="M12" s="186"/>
      <c r="N12" s="67"/>
      <c r="O12" s="67">
        <v>766</v>
      </c>
      <c r="P12" s="67">
        <v>766</v>
      </c>
      <c r="Q12" s="120">
        <f>+P12-O12</f>
        <v>0</v>
      </c>
      <c r="R12" s="120">
        <f>+P12-N12</f>
        <v>766</v>
      </c>
      <c r="S12" s="171">
        <v>442</v>
      </c>
      <c r="U12" s="119">
        <v>10104</v>
      </c>
      <c r="V12" s="57">
        <f>+S12-D12</f>
        <v>0</v>
      </c>
      <c r="W12" s="133"/>
    </row>
    <row r="13" spans="1:23" ht="18">
      <c r="A13" s="180">
        <f t="shared" si="0"/>
        <v>309.6</v>
      </c>
      <c r="B13" s="51">
        <f t="shared" si="0"/>
        <v>343</v>
      </c>
      <c r="C13" s="169">
        <f>+B13-A13</f>
        <v>33.39999999999998</v>
      </c>
      <c r="D13" s="143">
        <v>222</v>
      </c>
      <c r="E13" s="175"/>
      <c r="F13" s="133" t="s">
        <v>197</v>
      </c>
      <c r="G13" s="101"/>
      <c r="H13" s="68">
        <v>12592</v>
      </c>
      <c r="I13" s="67"/>
      <c r="J13" s="51">
        <f>-178232+194457</f>
        <v>16225</v>
      </c>
      <c r="K13" s="51"/>
      <c r="L13" s="51">
        <v>16225</v>
      </c>
      <c r="M13" s="186"/>
      <c r="N13" s="67"/>
      <c r="O13" s="67">
        <v>309.6</v>
      </c>
      <c r="P13" s="67">
        <v>343</v>
      </c>
      <c r="Q13" s="120">
        <f>+P13-O13</f>
        <v>33.39999999999998</v>
      </c>
      <c r="R13" s="120">
        <f>+P13-N13</f>
        <v>343</v>
      </c>
      <c r="S13" s="171">
        <v>222</v>
      </c>
      <c r="U13" s="119">
        <v>3717.6</v>
      </c>
      <c r="V13" s="71">
        <f>+S13-D13</f>
        <v>0</v>
      </c>
      <c r="W13" s="133"/>
    </row>
    <row r="14" spans="1:23" ht="18">
      <c r="A14" s="180">
        <f t="shared" si="0"/>
        <v>1416.6</v>
      </c>
      <c r="B14" s="51">
        <f t="shared" si="0"/>
        <v>1173</v>
      </c>
      <c r="C14" s="169">
        <f>+B14-A14</f>
        <v>-243.5999999999999</v>
      </c>
      <c r="D14" s="143">
        <v>1374</v>
      </c>
      <c r="E14" s="175"/>
      <c r="F14" s="133" t="s">
        <v>198</v>
      </c>
      <c r="G14" s="101"/>
      <c r="H14" s="68"/>
      <c r="I14" s="67"/>
      <c r="J14" s="51">
        <v>2800</v>
      </c>
      <c r="K14" s="51"/>
      <c r="L14" s="51">
        <v>2800</v>
      </c>
      <c r="M14" s="186"/>
      <c r="N14" s="67"/>
      <c r="O14" s="67">
        <v>1416.6</v>
      </c>
      <c r="P14" s="67">
        <v>1173</v>
      </c>
      <c r="Q14" s="120">
        <f>+P14-O14</f>
        <v>-243.5999999999999</v>
      </c>
      <c r="R14" s="120">
        <f>+P14-N14</f>
        <v>1173</v>
      </c>
      <c r="S14" s="171">
        <v>1374</v>
      </c>
      <c r="U14" s="119">
        <v>16097</v>
      </c>
      <c r="V14" s="57">
        <f>+S14-D14</f>
        <v>0</v>
      </c>
      <c r="W14" s="133"/>
    </row>
    <row r="15" spans="1:23" ht="18">
      <c r="A15" s="119"/>
      <c r="B15" s="51"/>
      <c r="C15" s="169"/>
      <c r="D15" s="143"/>
      <c r="E15" s="175"/>
      <c r="F15" s="133"/>
      <c r="G15" s="101"/>
      <c r="H15" s="68"/>
      <c r="I15" s="67"/>
      <c r="J15" s="51"/>
      <c r="K15" s="51"/>
      <c r="L15" s="51"/>
      <c r="M15" s="186"/>
      <c r="N15" s="67"/>
      <c r="O15" s="67"/>
      <c r="P15" s="67"/>
      <c r="Q15" s="120"/>
      <c r="R15" s="120"/>
      <c r="S15" s="171"/>
      <c r="U15" s="132"/>
      <c r="V15" s="133"/>
      <c r="W15" s="133"/>
    </row>
    <row r="16" spans="1:23" ht="18">
      <c r="A16" s="121">
        <f>SUM(A11:A15)</f>
        <v>17891.199999999997</v>
      </c>
      <c r="B16" s="52">
        <f>SUM(B11:B15)</f>
        <v>17521</v>
      </c>
      <c r="C16" s="52">
        <f>SUM(C11:C15)</f>
        <v>-370.19999999999993</v>
      </c>
      <c r="D16" s="144">
        <f>SUM(D11:D15)</f>
        <v>16341</v>
      </c>
      <c r="E16" s="176"/>
      <c r="F16" s="135" t="s">
        <v>124</v>
      </c>
      <c r="G16" s="100"/>
      <c r="H16" s="73">
        <f>SUM(H11:H14)</f>
        <v>177866</v>
      </c>
      <c r="I16" s="74"/>
      <c r="J16" s="72">
        <f>SUM(J11:J15)</f>
        <v>197257</v>
      </c>
      <c r="K16" s="72"/>
      <c r="L16" s="72">
        <f>SUM(L11:L15)</f>
        <v>197257</v>
      </c>
      <c r="M16" s="187"/>
      <c r="N16" s="74"/>
      <c r="O16" s="72">
        <f>SUM(O11:O15)</f>
        <v>17891.199999999997</v>
      </c>
      <c r="P16" s="72">
        <f>SUM(P11:P15)</f>
        <v>17521</v>
      </c>
      <c r="Q16" s="122">
        <f>SUM(Q11:Q15)</f>
        <v>-370.19999999999993</v>
      </c>
      <c r="R16" s="122">
        <f>SUM(R11:R15)</f>
        <v>17521</v>
      </c>
      <c r="S16" s="193">
        <f>SUM(S11:S15)</f>
        <v>16341</v>
      </c>
      <c r="U16" s="135">
        <f>SUM(U11:U15)</f>
        <v>214700.6</v>
      </c>
      <c r="V16" s="133">
        <f>+S16-D16</f>
        <v>0</v>
      </c>
      <c r="W16" s="135">
        <f>SUM(W11:W15)</f>
        <v>0</v>
      </c>
    </row>
    <row r="17" spans="1:23" ht="18">
      <c r="A17" s="119"/>
      <c r="B17" s="51"/>
      <c r="C17" s="169"/>
      <c r="D17" s="143"/>
      <c r="E17" s="175"/>
      <c r="F17" s="133"/>
      <c r="G17" s="101"/>
      <c r="H17" s="68"/>
      <c r="I17" s="67"/>
      <c r="J17" s="51"/>
      <c r="K17" s="51"/>
      <c r="L17" s="51"/>
      <c r="M17" s="186"/>
      <c r="N17" s="67"/>
      <c r="O17" s="67"/>
      <c r="P17" s="67"/>
      <c r="Q17" s="120"/>
      <c r="R17" s="120"/>
      <c r="S17" s="171"/>
      <c r="U17" s="132"/>
      <c r="V17" s="133"/>
      <c r="W17" s="133"/>
    </row>
    <row r="18" spans="1:23" ht="18">
      <c r="A18" s="119"/>
      <c r="B18" s="51"/>
      <c r="C18" s="169"/>
      <c r="D18" s="143"/>
      <c r="E18" s="175"/>
      <c r="F18" s="134" t="s">
        <v>103</v>
      </c>
      <c r="G18" s="170"/>
      <c r="H18" s="68"/>
      <c r="I18" s="67"/>
      <c r="J18" s="51"/>
      <c r="K18" s="51"/>
      <c r="L18" s="51"/>
      <c r="M18" s="186"/>
      <c r="N18" s="67"/>
      <c r="O18" s="67"/>
      <c r="P18" s="67"/>
      <c r="Q18" s="120"/>
      <c r="R18" s="120"/>
      <c r="S18" s="171"/>
      <c r="U18" s="132"/>
      <c r="V18" s="133"/>
      <c r="W18" s="133"/>
    </row>
    <row r="19" spans="1:23" ht="18">
      <c r="A19" s="119"/>
      <c r="B19" s="51"/>
      <c r="C19" s="169"/>
      <c r="D19" s="143"/>
      <c r="E19" s="175"/>
      <c r="F19" s="134"/>
      <c r="G19" s="170"/>
      <c r="H19" s="68"/>
      <c r="I19" s="67"/>
      <c r="J19" s="51"/>
      <c r="K19" s="51"/>
      <c r="L19" s="51"/>
      <c r="M19" s="186"/>
      <c r="N19" s="67"/>
      <c r="O19" s="67"/>
      <c r="P19" s="67"/>
      <c r="Q19" s="120"/>
      <c r="R19" s="120"/>
      <c r="S19" s="171"/>
      <c r="U19" s="132"/>
      <c r="V19" s="133"/>
      <c r="W19" s="133"/>
    </row>
    <row r="20" spans="1:23" ht="18">
      <c r="A20" s="119">
        <f aca="true" t="shared" si="1" ref="A20:A32">+O20-0</f>
        <v>-5</v>
      </c>
      <c r="B20" s="51">
        <f aca="true" t="shared" si="2" ref="B20:B32">+P20-0</f>
        <v>-5</v>
      </c>
      <c r="C20" s="169">
        <f aca="true" t="shared" si="3" ref="C20:C32">+B20-A20</f>
        <v>0</v>
      </c>
      <c r="D20" s="143">
        <v>-5</v>
      </c>
      <c r="E20" s="175"/>
      <c r="F20" s="133" t="s">
        <v>189</v>
      </c>
      <c r="G20" s="170"/>
      <c r="H20" s="68"/>
      <c r="I20" s="67"/>
      <c r="J20" s="51"/>
      <c r="K20" s="51"/>
      <c r="L20" s="51"/>
      <c r="M20" s="186"/>
      <c r="N20" s="67"/>
      <c r="O20" s="67">
        <v>-5</v>
      </c>
      <c r="P20" s="67">
        <v>-5</v>
      </c>
      <c r="Q20" s="120">
        <f aca="true" t="shared" si="4" ref="Q20:Q32">+P20-O20</f>
        <v>0</v>
      </c>
      <c r="R20" s="120"/>
      <c r="S20" s="171">
        <v>-5</v>
      </c>
      <c r="U20" s="202">
        <v>-65</v>
      </c>
      <c r="V20" s="111"/>
      <c r="W20" s="133"/>
    </row>
    <row r="21" spans="1:23" ht="18">
      <c r="A21" s="119">
        <f t="shared" si="1"/>
        <v>-392</v>
      </c>
      <c r="B21" s="51">
        <f t="shared" si="2"/>
        <v>-416</v>
      </c>
      <c r="C21" s="169">
        <f t="shared" si="3"/>
        <v>-24</v>
      </c>
      <c r="D21" s="143">
        <v>-388</v>
      </c>
      <c r="E21" s="175"/>
      <c r="F21" s="133" t="s">
        <v>190</v>
      </c>
      <c r="G21" s="170"/>
      <c r="H21" s="68"/>
      <c r="I21" s="67"/>
      <c r="J21" s="51"/>
      <c r="K21" s="51"/>
      <c r="L21" s="51"/>
      <c r="M21" s="186"/>
      <c r="N21" s="67"/>
      <c r="O21" s="67">
        <v>-392</v>
      </c>
      <c r="P21" s="67">
        <v>-416</v>
      </c>
      <c r="Q21" s="120">
        <f t="shared" si="4"/>
        <v>-24</v>
      </c>
      <c r="R21" s="120"/>
      <c r="S21" s="171">
        <v>-388</v>
      </c>
      <c r="U21" s="202">
        <v>-4772</v>
      </c>
      <c r="V21" s="111"/>
      <c r="W21" s="133"/>
    </row>
    <row r="22" spans="1:23" ht="18">
      <c r="A22" s="119">
        <f t="shared" si="1"/>
        <v>-1938</v>
      </c>
      <c r="B22" s="51">
        <f t="shared" si="2"/>
        <v>-1842</v>
      </c>
      <c r="C22" s="169">
        <f t="shared" si="3"/>
        <v>96</v>
      </c>
      <c r="D22" s="143">
        <v>-1712</v>
      </c>
      <c r="E22" s="175"/>
      <c r="F22" s="133" t="s">
        <v>191</v>
      </c>
      <c r="G22" s="170"/>
      <c r="H22" s="68"/>
      <c r="I22" s="67"/>
      <c r="J22" s="51"/>
      <c r="K22" s="51"/>
      <c r="L22" s="51"/>
      <c r="M22" s="186"/>
      <c r="N22" s="67"/>
      <c r="O22" s="67">
        <v>-1938</v>
      </c>
      <c r="P22" s="67">
        <v>-1842</v>
      </c>
      <c r="Q22" s="120">
        <f t="shared" si="4"/>
        <v>96</v>
      </c>
      <c r="R22" s="120"/>
      <c r="S22" s="171">
        <v>-1712</v>
      </c>
      <c r="U22" s="202">
        <v>-23262</v>
      </c>
      <c r="V22" s="111"/>
      <c r="W22" s="133"/>
    </row>
    <row r="23" spans="1:26" ht="18">
      <c r="A23" s="119">
        <f t="shared" si="1"/>
        <v>-1584</v>
      </c>
      <c r="B23" s="51">
        <f t="shared" si="2"/>
        <v>-1576</v>
      </c>
      <c r="C23" s="169">
        <f t="shared" si="3"/>
        <v>8</v>
      </c>
      <c r="D23" s="143">
        <v>-1478</v>
      </c>
      <c r="E23" s="175"/>
      <c r="F23" s="133" t="s">
        <v>192</v>
      </c>
      <c r="G23" s="101"/>
      <c r="H23" s="68">
        <v>35516</v>
      </c>
      <c r="I23" s="67"/>
      <c r="J23" s="51">
        <f>38621+31+43</f>
        <v>38695</v>
      </c>
      <c r="K23" s="51"/>
      <c r="L23" s="51">
        <f>39326+32+44</f>
        <v>39402</v>
      </c>
      <c r="M23" s="186"/>
      <c r="N23" s="67"/>
      <c r="O23" s="67">
        <v>-1584</v>
      </c>
      <c r="P23" s="67">
        <v>-1576</v>
      </c>
      <c r="Q23" s="120">
        <f t="shared" si="4"/>
        <v>8</v>
      </c>
      <c r="R23" s="120">
        <f aca="true" t="shared" si="5" ref="R23:R32">+P23-N23</f>
        <v>-1576</v>
      </c>
      <c r="S23" s="171">
        <v>-1478</v>
      </c>
      <c r="U23" s="119">
        <v>-19007</v>
      </c>
      <c r="V23" s="71">
        <f>+S23-D23</f>
        <v>0</v>
      </c>
      <c r="W23" s="133"/>
      <c r="Z23" s="57"/>
    </row>
    <row r="24" spans="1:26" ht="18">
      <c r="A24" s="119">
        <f t="shared" si="1"/>
        <v>-4348</v>
      </c>
      <c r="B24" s="51">
        <f t="shared" si="2"/>
        <v>-4219</v>
      </c>
      <c r="C24" s="169">
        <f t="shared" si="3"/>
        <v>129</v>
      </c>
      <c r="D24" s="143">
        <v>-3903</v>
      </c>
      <c r="E24" s="175"/>
      <c r="F24" s="133" t="s">
        <v>104</v>
      </c>
      <c r="G24" s="101"/>
      <c r="H24" s="68">
        <v>45440</v>
      </c>
      <c r="I24" s="67"/>
      <c r="J24" s="51">
        <f>6070+4641+123+36773</f>
        <v>47607</v>
      </c>
      <c r="K24" s="51"/>
      <c r="L24" s="51">
        <f>4400+3495+123+39616</f>
        <v>47634</v>
      </c>
      <c r="M24" s="186"/>
      <c r="N24" s="67"/>
      <c r="O24" s="67">
        <v>-4348</v>
      </c>
      <c r="P24" s="67">
        <f>-4218-1</f>
        <v>-4219</v>
      </c>
      <c r="Q24" s="120">
        <f t="shared" si="4"/>
        <v>129</v>
      </c>
      <c r="R24" s="120">
        <f t="shared" si="5"/>
        <v>-4219</v>
      </c>
      <c r="S24" s="171">
        <v>-3903</v>
      </c>
      <c r="U24" s="119">
        <v>-53103</v>
      </c>
      <c r="V24" s="57">
        <f>+S24-D24</f>
        <v>0</v>
      </c>
      <c r="W24" s="133"/>
      <c r="Z24" s="57"/>
    </row>
    <row r="25" spans="1:26" ht="18">
      <c r="A25" s="119">
        <f t="shared" si="1"/>
        <v>-773</v>
      </c>
      <c r="B25" s="51">
        <f t="shared" si="2"/>
        <v>-686</v>
      </c>
      <c r="C25" s="169">
        <f t="shared" si="3"/>
        <v>87</v>
      </c>
      <c r="D25" s="143">
        <v>-671</v>
      </c>
      <c r="E25" s="175"/>
      <c r="F25" s="133" t="s">
        <v>105</v>
      </c>
      <c r="G25" s="101"/>
      <c r="H25" s="68">
        <v>8011</v>
      </c>
      <c r="I25" s="67"/>
      <c r="J25" s="51">
        <f>445+28+189+66+8280</f>
        <v>9008</v>
      </c>
      <c r="K25" s="51"/>
      <c r="L25" s="51">
        <f>456+28+99+27+8398</f>
        <v>9008</v>
      </c>
      <c r="M25" s="186"/>
      <c r="N25" s="67"/>
      <c r="O25" s="67">
        <v>-773</v>
      </c>
      <c r="P25" s="67">
        <v>-686</v>
      </c>
      <c r="Q25" s="120">
        <f t="shared" si="4"/>
        <v>87</v>
      </c>
      <c r="R25" s="120">
        <f t="shared" si="5"/>
        <v>-686</v>
      </c>
      <c r="S25" s="171">
        <v>-671</v>
      </c>
      <c r="U25" s="119">
        <v>-9312</v>
      </c>
      <c r="V25" s="57">
        <f>+S25-D25</f>
        <v>0</v>
      </c>
      <c r="W25" s="133"/>
      <c r="Z25" s="57"/>
    </row>
    <row r="26" spans="1:26" ht="18">
      <c r="A26" s="119">
        <f t="shared" si="1"/>
        <v>-225</v>
      </c>
      <c r="B26" s="51">
        <f t="shared" si="2"/>
        <v>-227</v>
      </c>
      <c r="C26" s="169">
        <f t="shared" si="3"/>
        <v>-2</v>
      </c>
      <c r="D26" s="143">
        <v>-191</v>
      </c>
      <c r="E26" s="175"/>
      <c r="F26" s="133" t="s">
        <v>106</v>
      </c>
      <c r="G26" s="101"/>
      <c r="H26" s="68">
        <v>2478</v>
      </c>
      <c r="I26" s="67"/>
      <c r="J26" s="51">
        <f>125+106+58+45+19+2539</f>
        <v>2892</v>
      </c>
      <c r="K26" s="51"/>
      <c r="L26" s="51">
        <f>125+106+58+5+19+2580</f>
        <v>2893</v>
      </c>
      <c r="M26" s="186"/>
      <c r="N26" s="67"/>
      <c r="O26" s="67">
        <v>-225</v>
      </c>
      <c r="P26" s="67">
        <v>-227</v>
      </c>
      <c r="Q26" s="120">
        <f t="shared" si="4"/>
        <v>-2</v>
      </c>
      <c r="R26" s="120">
        <f t="shared" si="5"/>
        <v>-227</v>
      </c>
      <c r="S26" s="171">
        <v>-191</v>
      </c>
      <c r="U26" s="132">
        <v>-2707</v>
      </c>
      <c r="V26" s="133">
        <f>+S26-D26</f>
        <v>0</v>
      </c>
      <c r="W26" s="133"/>
      <c r="Z26" s="57"/>
    </row>
    <row r="27" spans="1:26" ht="18">
      <c r="A27" s="119">
        <f t="shared" si="1"/>
        <v>-840</v>
      </c>
      <c r="B27" s="51">
        <f t="shared" si="2"/>
        <v>-942</v>
      </c>
      <c r="C27" s="169">
        <f t="shared" si="3"/>
        <v>-102</v>
      </c>
      <c r="D27" s="143">
        <v>-885</v>
      </c>
      <c r="E27" s="175"/>
      <c r="F27" s="133" t="s">
        <v>107</v>
      </c>
      <c r="G27" s="101"/>
      <c r="H27" s="68">
        <v>9830</v>
      </c>
      <c r="I27" s="67"/>
      <c r="J27" s="51">
        <f>18+219+659+26+29+138+9778</f>
        <v>10867</v>
      </c>
      <c r="K27" s="51"/>
      <c r="L27" s="51">
        <f>18+219+456+26+138+9985</f>
        <v>10842</v>
      </c>
      <c r="M27" s="186"/>
      <c r="N27" s="67"/>
      <c r="O27" s="67">
        <v>-840</v>
      </c>
      <c r="P27" s="67">
        <v>-942</v>
      </c>
      <c r="Q27" s="120">
        <f t="shared" si="4"/>
        <v>-102</v>
      </c>
      <c r="R27" s="120">
        <f t="shared" si="5"/>
        <v>-942</v>
      </c>
      <c r="S27" s="171">
        <v>-885</v>
      </c>
      <c r="U27" s="132">
        <v>-10119</v>
      </c>
      <c r="V27" s="133">
        <f>+S27-D27</f>
        <v>0</v>
      </c>
      <c r="W27" s="133"/>
      <c r="Z27" s="57"/>
    </row>
    <row r="28" spans="1:26" ht="18">
      <c r="A28" s="119">
        <f t="shared" si="1"/>
        <v>-1203</v>
      </c>
      <c r="B28" s="51">
        <f t="shared" si="2"/>
        <v>-1082</v>
      </c>
      <c r="C28" s="169">
        <f t="shared" si="3"/>
        <v>121</v>
      </c>
      <c r="D28" s="143">
        <v>-1053</v>
      </c>
      <c r="E28" s="175"/>
      <c r="F28" s="133" t="s">
        <v>185</v>
      </c>
      <c r="G28" s="101"/>
      <c r="H28" s="68"/>
      <c r="I28" s="67"/>
      <c r="J28" s="51"/>
      <c r="K28" s="51"/>
      <c r="L28" s="51"/>
      <c r="M28" s="186"/>
      <c r="N28" s="67"/>
      <c r="O28" s="67">
        <v>-1203</v>
      </c>
      <c r="P28" s="67">
        <v>-1082</v>
      </c>
      <c r="Q28" s="120">
        <f t="shared" si="4"/>
        <v>121</v>
      </c>
      <c r="R28" s="120">
        <f t="shared" si="5"/>
        <v>-1082</v>
      </c>
      <c r="S28" s="171">
        <v>-1053</v>
      </c>
      <c r="U28" s="132">
        <v>-13996.6</v>
      </c>
      <c r="V28" s="133"/>
      <c r="W28" s="133"/>
      <c r="Z28" s="57"/>
    </row>
    <row r="29" spans="1:26" ht="18">
      <c r="A29" s="119">
        <f t="shared" si="1"/>
        <v>-528</v>
      </c>
      <c r="B29" s="51">
        <f t="shared" si="2"/>
        <v>-490</v>
      </c>
      <c r="C29" s="169">
        <f t="shared" si="3"/>
        <v>38</v>
      </c>
      <c r="D29" s="143">
        <v>-561</v>
      </c>
      <c r="E29" s="175"/>
      <c r="F29" s="133" t="s">
        <v>108</v>
      </c>
      <c r="G29" s="101"/>
      <c r="H29" s="68">
        <v>5158</v>
      </c>
      <c r="I29" s="67"/>
      <c r="J29" s="51">
        <f>164+329+13+14+5315</f>
        <v>5835</v>
      </c>
      <c r="K29" s="51"/>
      <c r="L29" s="51">
        <f>164+329+13+14+5315</f>
        <v>5835</v>
      </c>
      <c r="M29" s="186"/>
      <c r="N29" s="67"/>
      <c r="O29" s="67">
        <v>-528</v>
      </c>
      <c r="P29" s="67">
        <v>-490</v>
      </c>
      <c r="Q29" s="120">
        <f t="shared" si="4"/>
        <v>38</v>
      </c>
      <c r="R29" s="120">
        <f t="shared" si="5"/>
        <v>-490</v>
      </c>
      <c r="S29" s="171">
        <v>-561</v>
      </c>
      <c r="U29" s="132">
        <v>-6362</v>
      </c>
      <c r="V29" s="134">
        <f>+S29-D29</f>
        <v>0</v>
      </c>
      <c r="W29" s="133"/>
      <c r="Z29" s="57"/>
    </row>
    <row r="30" spans="1:26" ht="18">
      <c r="A30" s="119">
        <f t="shared" si="1"/>
        <v>-120</v>
      </c>
      <c r="B30" s="51">
        <f t="shared" si="2"/>
        <v>-129</v>
      </c>
      <c r="C30" s="169">
        <f t="shared" si="3"/>
        <v>-9</v>
      </c>
      <c r="D30" s="143">
        <v>-139</v>
      </c>
      <c r="E30" s="175"/>
      <c r="F30" s="133" t="s">
        <v>109</v>
      </c>
      <c r="G30" s="101"/>
      <c r="H30" s="68">
        <v>1396</v>
      </c>
      <c r="I30" s="67"/>
      <c r="J30" s="51">
        <f>188+1185</f>
        <v>1373</v>
      </c>
      <c r="K30" s="51"/>
      <c r="L30" s="51">
        <f>188+1185</f>
        <v>1373</v>
      </c>
      <c r="M30" s="186"/>
      <c r="N30" s="67"/>
      <c r="O30" s="67">
        <v>-120</v>
      </c>
      <c r="P30" s="67">
        <v>-129</v>
      </c>
      <c r="Q30" s="120">
        <f t="shared" si="4"/>
        <v>-9</v>
      </c>
      <c r="R30" s="120">
        <f t="shared" si="5"/>
        <v>-129</v>
      </c>
      <c r="S30" s="171">
        <v>-139</v>
      </c>
      <c r="U30" s="132">
        <v>-1445</v>
      </c>
      <c r="V30" s="133">
        <f>+S30-D30</f>
        <v>0</v>
      </c>
      <c r="W30" s="133"/>
      <c r="Z30" s="57"/>
    </row>
    <row r="31" spans="1:26" ht="18">
      <c r="A31" s="119">
        <f t="shared" si="1"/>
        <v>-20</v>
      </c>
      <c r="B31" s="51">
        <f t="shared" si="2"/>
        <v>-97</v>
      </c>
      <c r="C31" s="169">
        <f t="shared" si="3"/>
        <v>-77</v>
      </c>
      <c r="D31" s="143">
        <v>-262</v>
      </c>
      <c r="E31" s="175"/>
      <c r="F31" s="133" t="s">
        <v>182</v>
      </c>
      <c r="G31" s="101"/>
      <c r="H31" s="68">
        <v>17112</v>
      </c>
      <c r="I31" s="67"/>
      <c r="J31" s="51">
        <f>-109829+131328</f>
        <v>21499</v>
      </c>
      <c r="K31" s="51"/>
      <c r="L31" s="51">
        <f>-110528+131318</f>
        <v>20790</v>
      </c>
      <c r="M31" s="186"/>
      <c r="N31" s="67"/>
      <c r="O31" s="67">
        <v>-20</v>
      </c>
      <c r="P31" s="67">
        <v>-97</v>
      </c>
      <c r="Q31" s="120">
        <f t="shared" si="4"/>
        <v>-77</v>
      </c>
      <c r="R31" s="120">
        <f t="shared" si="5"/>
        <v>-97</v>
      </c>
      <c r="S31" s="171">
        <v>-262</v>
      </c>
      <c r="U31" s="132">
        <v>3417</v>
      </c>
      <c r="V31" s="133">
        <f>+S31-D31</f>
        <v>0</v>
      </c>
      <c r="W31" s="133"/>
      <c r="Z31" s="57"/>
    </row>
    <row r="32" spans="1:26" ht="18">
      <c r="A32" s="119">
        <f t="shared" si="1"/>
        <v>-22</v>
      </c>
      <c r="B32" s="51">
        <f t="shared" si="2"/>
        <v>-94</v>
      </c>
      <c r="C32" s="169">
        <f t="shared" si="3"/>
        <v>-72</v>
      </c>
      <c r="D32" s="143">
        <v>-85</v>
      </c>
      <c r="E32" s="175"/>
      <c r="F32" s="133" t="s">
        <v>193</v>
      </c>
      <c r="G32" s="101"/>
      <c r="H32" s="68"/>
      <c r="I32" s="67"/>
      <c r="J32" s="51"/>
      <c r="K32" s="51"/>
      <c r="L32" s="51"/>
      <c r="M32" s="186"/>
      <c r="N32" s="67"/>
      <c r="O32" s="67">
        <v>-22</v>
      </c>
      <c r="P32" s="67">
        <v>-94</v>
      </c>
      <c r="Q32" s="120">
        <f t="shared" si="4"/>
        <v>-72</v>
      </c>
      <c r="R32" s="120">
        <f t="shared" si="5"/>
        <v>-94</v>
      </c>
      <c r="S32" s="171">
        <v>-85</v>
      </c>
      <c r="U32" s="132">
        <v>-266</v>
      </c>
      <c r="V32" s="133"/>
      <c r="W32" s="133"/>
      <c r="Z32" s="57"/>
    </row>
    <row r="33" spans="1:23" ht="18">
      <c r="A33" s="119"/>
      <c r="B33" s="51"/>
      <c r="C33" s="169"/>
      <c r="D33" s="143"/>
      <c r="E33" s="175"/>
      <c r="F33" s="133"/>
      <c r="G33" s="101"/>
      <c r="H33" s="68"/>
      <c r="I33" s="67"/>
      <c r="J33" s="51"/>
      <c r="K33" s="51"/>
      <c r="L33" s="51"/>
      <c r="M33" s="186"/>
      <c r="N33" s="67"/>
      <c r="O33" s="67"/>
      <c r="P33" s="67"/>
      <c r="Q33" s="120"/>
      <c r="R33" s="120"/>
      <c r="S33" s="171"/>
      <c r="U33" s="132"/>
      <c r="V33" s="133"/>
      <c r="W33" s="133"/>
    </row>
    <row r="34" spans="1:25" s="16" customFormat="1" ht="18">
      <c r="A34" s="121">
        <f>SUM(A20:A33)</f>
        <v>-11998</v>
      </c>
      <c r="B34" s="52">
        <f>SUM(B20:B33)</f>
        <v>-11805</v>
      </c>
      <c r="C34" s="52">
        <f>SUM(C20:C33)</f>
        <v>193</v>
      </c>
      <c r="D34" s="144">
        <f>SUM(D20:D33)</f>
        <v>-11333</v>
      </c>
      <c r="E34" s="176"/>
      <c r="F34" s="135" t="s">
        <v>110</v>
      </c>
      <c r="G34" s="100"/>
      <c r="H34" s="73">
        <f>SUM(H23:H33)</f>
        <v>124941</v>
      </c>
      <c r="I34" s="72"/>
      <c r="J34" s="52">
        <f>SUM(J23:J33)</f>
        <v>137776</v>
      </c>
      <c r="K34" s="52"/>
      <c r="L34" s="52">
        <f>SUM(L23:L33)</f>
        <v>137777</v>
      </c>
      <c r="M34" s="188"/>
      <c r="N34" s="72"/>
      <c r="O34" s="193">
        <f>SUM(O20:O33)</f>
        <v>-11998</v>
      </c>
      <c r="P34" s="193">
        <f>SUM(P20:P33)</f>
        <v>-11805</v>
      </c>
      <c r="Q34" s="193">
        <f>SUM(Q20:Q33)</f>
        <v>193</v>
      </c>
      <c r="R34" s="122">
        <f>SUM(R23:R33)</f>
        <v>-9542</v>
      </c>
      <c r="S34" s="193">
        <f>SUM(S20:S33)</f>
        <v>-11333</v>
      </c>
      <c r="T34" s="71"/>
      <c r="U34" s="136">
        <f>SUM(U20:U33)</f>
        <v>-140999.6</v>
      </c>
      <c r="V34" s="133">
        <f>+S34-D34</f>
        <v>0</v>
      </c>
      <c r="W34" s="136">
        <f>SUM(W23:W32)</f>
        <v>0</v>
      </c>
      <c r="Y34" s="11"/>
    </row>
    <row r="35" spans="1:23" ht="18">
      <c r="A35" s="119"/>
      <c r="B35" s="51"/>
      <c r="C35" s="169"/>
      <c r="D35" s="143"/>
      <c r="E35" s="175"/>
      <c r="F35" s="133"/>
      <c r="G35" s="101"/>
      <c r="H35" s="68"/>
      <c r="I35" s="67"/>
      <c r="J35" s="51"/>
      <c r="K35" s="51"/>
      <c r="L35" s="51"/>
      <c r="M35" s="186"/>
      <c r="N35" s="67"/>
      <c r="O35" s="67"/>
      <c r="P35" s="67"/>
      <c r="Q35" s="120"/>
      <c r="R35" s="120"/>
      <c r="S35" s="171"/>
      <c r="U35" s="132"/>
      <c r="V35" s="133"/>
      <c r="W35" s="133"/>
    </row>
    <row r="36" spans="1:23" ht="18">
      <c r="A36" s="119"/>
      <c r="B36" s="51"/>
      <c r="C36" s="169"/>
      <c r="D36" s="143"/>
      <c r="E36" s="175"/>
      <c r="F36" s="134" t="s">
        <v>111</v>
      </c>
      <c r="G36" s="170"/>
      <c r="H36" s="68"/>
      <c r="I36" s="67"/>
      <c r="J36" s="51"/>
      <c r="K36" s="51"/>
      <c r="L36" s="51"/>
      <c r="M36" s="186"/>
      <c r="N36" s="67"/>
      <c r="O36" s="67"/>
      <c r="P36" s="67"/>
      <c r="Q36" s="120"/>
      <c r="R36" s="120"/>
      <c r="S36" s="171"/>
      <c r="U36" s="132"/>
      <c r="V36" s="133"/>
      <c r="W36" s="133"/>
    </row>
    <row r="37" spans="1:23" ht="18">
      <c r="A37" s="119"/>
      <c r="B37" s="51"/>
      <c r="C37" s="169"/>
      <c r="D37" s="143"/>
      <c r="E37" s="175"/>
      <c r="F37" s="133"/>
      <c r="G37" s="101"/>
      <c r="H37" s="68"/>
      <c r="I37" s="67"/>
      <c r="J37" s="51"/>
      <c r="K37" s="51"/>
      <c r="L37" s="51"/>
      <c r="M37" s="186"/>
      <c r="N37" s="67"/>
      <c r="O37" s="67"/>
      <c r="P37" s="67"/>
      <c r="Q37" s="120"/>
      <c r="R37" s="120"/>
      <c r="S37" s="171"/>
      <c r="U37" s="132"/>
      <c r="V37" s="133"/>
      <c r="W37" s="133"/>
    </row>
    <row r="38" spans="1:25" ht="18">
      <c r="A38" s="180">
        <f aca="true" t="shared" si="6" ref="A38:B43">+O38-0</f>
        <v>-1031</v>
      </c>
      <c r="B38" s="51">
        <f t="shared" si="6"/>
        <v>-1086</v>
      </c>
      <c r="C38" s="169">
        <f aca="true" t="shared" si="7" ref="C38:C43">+B38-A38</f>
        <v>-55</v>
      </c>
      <c r="D38" s="143">
        <v>-943</v>
      </c>
      <c r="E38" s="175"/>
      <c r="F38" s="133" t="s">
        <v>112</v>
      </c>
      <c r="G38" s="101"/>
      <c r="H38" s="68">
        <v>10304</v>
      </c>
      <c r="I38" s="67"/>
      <c r="J38" s="51">
        <v>11832</v>
      </c>
      <c r="K38" s="51"/>
      <c r="L38" s="51">
        <v>11832</v>
      </c>
      <c r="M38" s="186"/>
      <c r="N38" s="67"/>
      <c r="O38" s="67">
        <v>-1031</v>
      </c>
      <c r="P38" s="67">
        <f>-1056-30</f>
        <v>-1086</v>
      </c>
      <c r="Q38" s="120">
        <f aca="true" t="shared" si="8" ref="Q38:Q43">+P38-O38</f>
        <v>-55</v>
      </c>
      <c r="R38" s="120">
        <f aca="true" t="shared" si="9" ref="R38:R43">+P38-N38</f>
        <v>-1086</v>
      </c>
      <c r="S38" s="171">
        <v>-943</v>
      </c>
      <c r="U38" s="119">
        <v>-12372</v>
      </c>
      <c r="V38" s="57">
        <f>+S38-D38</f>
        <v>0</v>
      </c>
      <c r="W38" s="133"/>
      <c r="Y38" s="57"/>
    </row>
    <row r="39" spans="1:25" ht="18">
      <c r="A39" s="180">
        <f t="shared" si="6"/>
        <v>-1756</v>
      </c>
      <c r="B39" s="51">
        <f t="shared" si="6"/>
        <v>-1512</v>
      </c>
      <c r="C39" s="169">
        <f t="shared" si="7"/>
        <v>244</v>
      </c>
      <c r="D39" s="143">
        <v>-1522</v>
      </c>
      <c r="E39" s="175"/>
      <c r="F39" s="133" t="s">
        <v>125</v>
      </c>
      <c r="G39" s="101"/>
      <c r="H39" s="68">
        <v>18348</v>
      </c>
      <c r="I39" s="67"/>
      <c r="J39" s="51">
        <f>1211+5036+149+119+131+23+382+1948+83+79+1417+3132+2299+127+2774+1780+104+300+7+26+2+77</f>
        <v>21206</v>
      </c>
      <c r="K39" s="51"/>
      <c r="L39" s="51">
        <f>1211+5036+149+119+131+23+382+1948+83+79+1417+3132+2299+127+2774+1780+104+300+7+26+2+77</f>
        <v>21206</v>
      </c>
      <c r="M39" s="186"/>
      <c r="N39" s="67"/>
      <c r="O39" s="67">
        <v>-1756</v>
      </c>
      <c r="P39" s="67">
        <v>-1512</v>
      </c>
      <c r="Q39" s="120">
        <f t="shared" si="8"/>
        <v>244</v>
      </c>
      <c r="R39" s="120">
        <f t="shared" si="9"/>
        <v>-1512</v>
      </c>
      <c r="S39" s="171">
        <v>-1522</v>
      </c>
      <c r="U39" s="119">
        <v>-21066</v>
      </c>
      <c r="V39" s="57">
        <f>+S39-D39</f>
        <v>0</v>
      </c>
      <c r="W39" s="133"/>
      <c r="Y39" s="57"/>
    </row>
    <row r="40" spans="1:25" ht="18">
      <c r="A40" s="180">
        <f t="shared" si="6"/>
        <v>-311</v>
      </c>
      <c r="B40" s="51">
        <f t="shared" si="6"/>
        <v>-299</v>
      </c>
      <c r="C40" s="169">
        <f t="shared" si="7"/>
        <v>12</v>
      </c>
      <c r="D40" s="143">
        <v>-220</v>
      </c>
      <c r="E40" s="175"/>
      <c r="F40" s="133" t="s">
        <v>126</v>
      </c>
      <c r="G40" s="101"/>
      <c r="H40" s="68">
        <v>5150</v>
      </c>
      <c r="I40" s="67"/>
      <c r="J40" s="51">
        <f>973+64+620+163+134+409+151+158+459</f>
        <v>3131</v>
      </c>
      <c r="K40" s="51"/>
      <c r="L40" s="51">
        <v>3131</v>
      </c>
      <c r="M40" s="186"/>
      <c r="N40" s="67"/>
      <c r="O40" s="67">
        <v>-311</v>
      </c>
      <c r="P40" s="67">
        <v>-299</v>
      </c>
      <c r="Q40" s="120">
        <f t="shared" si="8"/>
        <v>12</v>
      </c>
      <c r="R40" s="120">
        <f t="shared" si="9"/>
        <v>-299</v>
      </c>
      <c r="S40" s="171">
        <v>-220</v>
      </c>
      <c r="U40" s="119">
        <v>-3734</v>
      </c>
      <c r="W40" s="133"/>
      <c r="Y40" s="57"/>
    </row>
    <row r="41" spans="1:25" ht="18">
      <c r="A41" s="180">
        <f t="shared" si="6"/>
        <v>-704</v>
      </c>
      <c r="B41" s="51">
        <f t="shared" si="6"/>
        <v>-653</v>
      </c>
      <c r="C41" s="169">
        <f t="shared" si="7"/>
        <v>51</v>
      </c>
      <c r="D41" s="143">
        <v>-377</v>
      </c>
      <c r="E41" s="175"/>
      <c r="F41" s="133" t="s">
        <v>127</v>
      </c>
      <c r="G41" s="101"/>
      <c r="H41" s="68">
        <v>4215</v>
      </c>
      <c r="I41" s="67"/>
      <c r="J41" s="51">
        <v>6653</v>
      </c>
      <c r="K41" s="51"/>
      <c r="L41" s="51">
        <f>459+797+1353+78+218+366+83+91+808+270+1307+726</f>
        <v>6556</v>
      </c>
      <c r="M41" s="186"/>
      <c r="N41" s="67"/>
      <c r="O41" s="67">
        <v>-704</v>
      </c>
      <c r="P41" s="67">
        <v>-653</v>
      </c>
      <c r="Q41" s="120">
        <f t="shared" si="8"/>
        <v>51</v>
      </c>
      <c r="R41" s="120">
        <f t="shared" si="9"/>
        <v>-653</v>
      </c>
      <c r="S41" s="171">
        <v>-377</v>
      </c>
      <c r="U41" s="119">
        <v>-8259</v>
      </c>
      <c r="W41" s="133"/>
      <c r="Y41" s="57"/>
    </row>
    <row r="42" spans="1:25" ht="18">
      <c r="A42" s="180">
        <f t="shared" si="6"/>
        <v>-826</v>
      </c>
      <c r="B42" s="51">
        <f t="shared" si="6"/>
        <v>-784</v>
      </c>
      <c r="C42" s="169">
        <f t="shared" si="7"/>
        <v>42</v>
      </c>
      <c r="D42" s="143">
        <v>-629</v>
      </c>
      <c r="E42" s="175"/>
      <c r="F42" s="133" t="s">
        <v>129</v>
      </c>
      <c r="G42" s="101"/>
      <c r="H42" s="68"/>
      <c r="I42" s="67"/>
      <c r="J42" s="51"/>
      <c r="K42" s="51"/>
      <c r="L42" s="51">
        <f>2622+1370+537+1450+307</f>
        <v>6286</v>
      </c>
      <c r="M42" s="186"/>
      <c r="N42" s="67"/>
      <c r="O42" s="67">
        <v>-826</v>
      </c>
      <c r="P42" s="67">
        <v>-784</v>
      </c>
      <c r="Q42" s="120">
        <f t="shared" si="8"/>
        <v>42</v>
      </c>
      <c r="R42" s="120">
        <f t="shared" si="9"/>
        <v>-784</v>
      </c>
      <c r="S42" s="171">
        <v>-629</v>
      </c>
      <c r="U42" s="119">
        <v>-9916</v>
      </c>
      <c r="W42" s="133"/>
      <c r="Y42" s="57"/>
    </row>
    <row r="43" spans="1:25" ht="18">
      <c r="A43" s="180">
        <f t="shared" si="6"/>
        <v>101</v>
      </c>
      <c r="B43" s="51">
        <f t="shared" si="6"/>
        <v>-11</v>
      </c>
      <c r="C43" s="169">
        <f t="shared" si="7"/>
        <v>-112</v>
      </c>
      <c r="D43" s="143">
        <v>404</v>
      </c>
      <c r="E43" s="175"/>
      <c r="F43" s="133" t="s">
        <v>113</v>
      </c>
      <c r="G43" s="101"/>
      <c r="H43" s="68">
        <v>13628</v>
      </c>
      <c r="I43" s="67"/>
      <c r="J43" s="51">
        <v>10950</v>
      </c>
      <c r="K43" s="51"/>
      <c r="L43" s="51">
        <f>-47386+65939+2242-1619-9339-5263+198</f>
        <v>4772</v>
      </c>
      <c r="M43" s="186"/>
      <c r="N43" s="67"/>
      <c r="O43" s="67">
        <v>101</v>
      </c>
      <c r="P43" s="67">
        <f>-12+1</f>
        <v>-11</v>
      </c>
      <c r="Q43" s="120">
        <f t="shared" si="8"/>
        <v>-112</v>
      </c>
      <c r="R43" s="120">
        <f t="shared" si="9"/>
        <v>-11</v>
      </c>
      <c r="S43" s="171">
        <v>-404</v>
      </c>
      <c r="U43" s="119">
        <v>1013</v>
      </c>
      <c r="V43" s="71">
        <f>+S43-D43</f>
        <v>-808</v>
      </c>
      <c r="W43" s="133"/>
      <c r="Y43" s="57"/>
    </row>
    <row r="44" spans="1:23" ht="18">
      <c r="A44" s="119"/>
      <c r="B44" s="51"/>
      <c r="C44" s="169"/>
      <c r="D44" s="143"/>
      <c r="E44" s="175"/>
      <c r="F44" s="133"/>
      <c r="G44" s="101"/>
      <c r="H44" s="68"/>
      <c r="I44" s="67"/>
      <c r="J44" s="51"/>
      <c r="K44" s="51"/>
      <c r="L44" s="51"/>
      <c r="M44" s="186"/>
      <c r="N44" s="67"/>
      <c r="O44" s="67"/>
      <c r="P44" s="67"/>
      <c r="Q44" s="120"/>
      <c r="R44" s="120"/>
      <c r="S44" s="171"/>
      <c r="U44" s="132"/>
      <c r="V44" s="133"/>
      <c r="W44" s="133"/>
    </row>
    <row r="45" spans="1:23" s="16" customFormat="1" ht="18">
      <c r="A45" s="121">
        <f>SUM(A38:A44)</f>
        <v>-4527</v>
      </c>
      <c r="B45" s="52">
        <f>SUM(B38:B44)</f>
        <v>-4345</v>
      </c>
      <c r="C45" s="52">
        <f>SUM(C38:C44)</f>
        <v>182</v>
      </c>
      <c r="D45" s="144">
        <f>SUM(D38:D44)</f>
        <v>-3287</v>
      </c>
      <c r="E45" s="176"/>
      <c r="F45" s="135" t="s">
        <v>114</v>
      </c>
      <c r="G45" s="100"/>
      <c r="H45" s="76">
        <f>SUM(H38:H44)</f>
        <v>51645</v>
      </c>
      <c r="I45" s="72"/>
      <c r="J45" s="52">
        <f>SUM(J38:J44)</f>
        <v>53772</v>
      </c>
      <c r="K45" s="52"/>
      <c r="L45" s="72">
        <f>SUM(L38:L44)</f>
        <v>53783</v>
      </c>
      <c r="M45" s="188"/>
      <c r="N45" s="72"/>
      <c r="O45" s="72">
        <f>SUM(O38:O44)</f>
        <v>-4527</v>
      </c>
      <c r="P45" s="72">
        <f>SUM(P38:P44)</f>
        <v>-4345</v>
      </c>
      <c r="Q45" s="122">
        <f>SUM(Q38:Q44)</f>
        <v>182</v>
      </c>
      <c r="R45" s="122">
        <f>SUM(R38:R44)</f>
        <v>-4345</v>
      </c>
      <c r="S45" s="193">
        <f>SUM(S38:S44)</f>
        <v>-4095</v>
      </c>
      <c r="T45" s="71"/>
      <c r="U45" s="136">
        <f>SUM(U38:U44)</f>
        <v>-54334</v>
      </c>
      <c r="V45" s="133">
        <f>+S45-D45</f>
        <v>-808</v>
      </c>
      <c r="W45" s="136">
        <f>SUM(W38:W44)</f>
        <v>0</v>
      </c>
    </row>
    <row r="46" spans="1:23" s="16" customFormat="1" ht="18">
      <c r="A46" s="123"/>
      <c r="B46" s="53"/>
      <c r="C46" s="200"/>
      <c r="D46" s="181"/>
      <c r="E46" s="177"/>
      <c r="F46" s="134"/>
      <c r="G46" s="170"/>
      <c r="H46" s="77"/>
      <c r="I46" s="69"/>
      <c r="J46" s="53"/>
      <c r="K46" s="53"/>
      <c r="L46" s="53"/>
      <c r="M46" s="189"/>
      <c r="N46" s="69"/>
      <c r="O46" s="69"/>
      <c r="P46" s="69"/>
      <c r="Q46" s="124"/>
      <c r="R46" s="124"/>
      <c r="S46" s="194"/>
      <c r="T46" s="71"/>
      <c r="U46" s="137"/>
      <c r="V46" s="133"/>
      <c r="W46" s="133"/>
    </row>
    <row r="47" spans="1:23" s="16" customFormat="1" ht="18" customHeight="1" hidden="1">
      <c r="A47" s="123"/>
      <c r="B47" s="53"/>
      <c r="C47" s="200"/>
      <c r="D47" s="181">
        <v>0</v>
      </c>
      <c r="E47" s="177"/>
      <c r="F47" s="134" t="s">
        <v>7</v>
      </c>
      <c r="G47" s="170"/>
      <c r="H47" s="77"/>
      <c r="I47" s="69"/>
      <c r="J47" s="53"/>
      <c r="K47" s="53"/>
      <c r="L47" s="53"/>
      <c r="M47" s="189"/>
      <c r="N47" s="69"/>
      <c r="O47" s="69"/>
      <c r="P47" s="69"/>
      <c r="Q47" s="120">
        <f>+L47-O47</f>
        <v>0</v>
      </c>
      <c r="R47" s="120">
        <f>+M47-P47</f>
        <v>0</v>
      </c>
      <c r="S47" s="194"/>
      <c r="T47" s="71"/>
      <c r="U47" s="137"/>
      <c r="V47" s="133">
        <f>+S47-D47</f>
        <v>0</v>
      </c>
      <c r="W47" s="133">
        <f>+U47</f>
        <v>0</v>
      </c>
    </row>
    <row r="48" spans="1:23" s="16" customFormat="1" ht="18">
      <c r="A48" s="121">
        <f>+A34+A45+A47</f>
        <v>-16525</v>
      </c>
      <c r="B48" s="52">
        <f>+B34+B45+B47</f>
        <v>-16150</v>
      </c>
      <c r="C48" s="52">
        <f>+C34+C45+C47</f>
        <v>375</v>
      </c>
      <c r="D48" s="52">
        <f>+D34+D45+D47</f>
        <v>-14620</v>
      </c>
      <c r="E48" s="176"/>
      <c r="F48" s="135" t="s">
        <v>115</v>
      </c>
      <c r="G48" s="100"/>
      <c r="H48" s="73">
        <f>+H34+H45+H47</f>
        <v>176586</v>
      </c>
      <c r="I48" s="72"/>
      <c r="J48" s="78">
        <f>+J34+J45+J47</f>
        <v>191548</v>
      </c>
      <c r="K48" s="78"/>
      <c r="L48" s="72">
        <f>+L34+L45+L47</f>
        <v>191560</v>
      </c>
      <c r="M48" s="188"/>
      <c r="N48" s="72"/>
      <c r="O48" s="72">
        <f>+O34+O45+O47</f>
        <v>-16525</v>
      </c>
      <c r="P48" s="72">
        <f>+P34+P45+P47</f>
        <v>-16150</v>
      </c>
      <c r="Q48" s="122">
        <f>+Q34+Q45</f>
        <v>375</v>
      </c>
      <c r="R48" s="122">
        <f>+R34+R45</f>
        <v>-13887</v>
      </c>
      <c r="S48" s="193">
        <f>+S34+S45+S47</f>
        <v>-15428</v>
      </c>
      <c r="T48" s="71"/>
      <c r="U48" s="138">
        <f>+U34+U45+U47-1</f>
        <v>-195334.6</v>
      </c>
      <c r="V48" s="133">
        <f>+S48-D48</f>
        <v>-808</v>
      </c>
      <c r="W48" s="138">
        <f>+W34+W45+W47</f>
        <v>0</v>
      </c>
    </row>
    <row r="49" spans="1:23" ht="18">
      <c r="A49" s="119"/>
      <c r="B49" s="51"/>
      <c r="C49" s="169"/>
      <c r="D49" s="181"/>
      <c r="E49" s="177"/>
      <c r="F49" s="133"/>
      <c r="G49" s="101"/>
      <c r="H49" s="68"/>
      <c r="I49" s="67"/>
      <c r="J49" s="51"/>
      <c r="K49" s="51"/>
      <c r="L49" s="51"/>
      <c r="M49" s="186"/>
      <c r="N49" s="67"/>
      <c r="O49" s="67"/>
      <c r="P49" s="67"/>
      <c r="Q49" s="120"/>
      <c r="R49" s="120"/>
      <c r="S49" s="171"/>
      <c r="U49" s="132"/>
      <c r="V49" s="133"/>
      <c r="W49" s="133"/>
    </row>
    <row r="50" spans="1:23" s="16" customFormat="1" ht="18">
      <c r="A50" s="125">
        <f>+A16+A48</f>
        <v>1366.199999999997</v>
      </c>
      <c r="B50" s="15">
        <f>+B16+B48</f>
        <v>1371</v>
      </c>
      <c r="C50" s="15">
        <f>+C16+C48</f>
        <v>4.800000000000068</v>
      </c>
      <c r="D50" s="15">
        <f>+D16+D48</f>
        <v>1721</v>
      </c>
      <c r="E50" s="176"/>
      <c r="F50" s="135" t="s">
        <v>116</v>
      </c>
      <c r="G50" s="100"/>
      <c r="H50" s="73">
        <f>+H16-H48</f>
        <v>1280</v>
      </c>
      <c r="I50" s="72"/>
      <c r="J50" s="72">
        <f>+J16-J48</f>
        <v>5709</v>
      </c>
      <c r="K50" s="72"/>
      <c r="L50" s="72">
        <f>+L16-L48</f>
        <v>5697</v>
      </c>
      <c r="M50" s="188"/>
      <c r="N50" s="72"/>
      <c r="O50" s="15">
        <f>+O16+O48</f>
        <v>1366.199999999997</v>
      </c>
      <c r="P50" s="15">
        <f>+P16+P48</f>
        <v>1371</v>
      </c>
      <c r="Q50" s="15">
        <f>+Q16+Q48</f>
        <v>4.800000000000068</v>
      </c>
      <c r="R50" s="122">
        <f>N50-P50</f>
        <v>-1371</v>
      </c>
      <c r="S50" s="125">
        <f>+S16+S48</f>
        <v>913</v>
      </c>
      <c r="T50" s="71"/>
      <c r="U50" s="135">
        <f>+U16+U48</f>
        <v>19366</v>
      </c>
      <c r="V50" s="133">
        <f>+S50-D50</f>
        <v>-808</v>
      </c>
      <c r="W50" s="135">
        <f>+W16+W48</f>
        <v>0</v>
      </c>
    </row>
    <row r="51" spans="1:23" ht="18">
      <c r="A51" s="119"/>
      <c r="B51" s="51"/>
      <c r="C51" s="169"/>
      <c r="D51" s="143"/>
      <c r="E51" s="175"/>
      <c r="F51" s="133"/>
      <c r="G51" s="101"/>
      <c r="H51" s="68"/>
      <c r="I51" s="67"/>
      <c r="J51" s="51"/>
      <c r="K51" s="51"/>
      <c r="L51" s="51"/>
      <c r="M51" s="186"/>
      <c r="N51" s="67"/>
      <c r="O51" s="67"/>
      <c r="P51" s="67"/>
      <c r="Q51" s="120"/>
      <c r="R51" s="120"/>
      <c r="S51" s="171"/>
      <c r="U51" s="132"/>
      <c r="V51" s="133"/>
      <c r="W51" s="133"/>
    </row>
    <row r="52" spans="1:23" ht="18">
      <c r="A52" s="119"/>
      <c r="B52" s="51"/>
      <c r="C52" s="169"/>
      <c r="D52" s="143"/>
      <c r="E52" s="175"/>
      <c r="F52" s="133"/>
      <c r="G52" s="101"/>
      <c r="H52" s="68"/>
      <c r="I52" s="67"/>
      <c r="J52" s="51"/>
      <c r="K52" s="51"/>
      <c r="L52" s="51"/>
      <c r="M52" s="186"/>
      <c r="N52" s="67"/>
      <c r="O52" s="67"/>
      <c r="P52" s="67"/>
      <c r="Q52" s="120"/>
      <c r="R52" s="120"/>
      <c r="S52" s="171"/>
      <c r="U52" s="132"/>
      <c r="V52" s="133"/>
      <c r="W52" s="133"/>
    </row>
    <row r="53" spans="1:26" ht="18">
      <c r="A53" s="119">
        <f aca="true" t="shared" si="10" ref="A53:B57">+O53-0</f>
        <v>0</v>
      </c>
      <c r="B53" s="51">
        <f t="shared" si="10"/>
        <v>0</v>
      </c>
      <c r="C53" s="169">
        <f>+B53-A53</f>
        <v>0</v>
      </c>
      <c r="D53" s="143">
        <v>-128</v>
      </c>
      <c r="E53" s="175"/>
      <c r="F53" s="133" t="s">
        <v>101</v>
      </c>
      <c r="G53" s="101"/>
      <c r="H53" s="68"/>
      <c r="I53" s="67"/>
      <c r="J53" s="51">
        <v>1619</v>
      </c>
      <c r="K53" s="51"/>
      <c r="L53" s="51">
        <v>1619</v>
      </c>
      <c r="M53" s="186"/>
      <c r="N53" s="67"/>
      <c r="O53" s="67"/>
      <c r="P53" s="67"/>
      <c r="Q53" s="120">
        <f>+P53-O53</f>
        <v>0</v>
      </c>
      <c r="R53" s="120">
        <f>+P53-N53</f>
        <v>0</v>
      </c>
      <c r="S53" s="171">
        <v>-128</v>
      </c>
      <c r="U53" s="132"/>
      <c r="V53" s="133"/>
      <c r="W53" s="133"/>
      <c r="Y53" s="57"/>
      <c r="Z53" s="57"/>
    </row>
    <row r="54" spans="1:26" ht="18">
      <c r="A54" s="119">
        <f t="shared" si="10"/>
        <v>-801</v>
      </c>
      <c r="B54" s="51">
        <f t="shared" si="10"/>
        <v>-811</v>
      </c>
      <c r="C54" s="169">
        <f>+B54-A54</f>
        <v>-10</v>
      </c>
      <c r="D54" s="143">
        <v>-778</v>
      </c>
      <c r="E54" s="175"/>
      <c r="F54" s="133" t="s">
        <v>117</v>
      </c>
      <c r="G54" s="101"/>
      <c r="H54" s="68">
        <v>8472</v>
      </c>
      <c r="I54" s="67"/>
      <c r="J54" s="51">
        <v>9351</v>
      </c>
      <c r="K54" s="51"/>
      <c r="L54" s="51">
        <v>9339</v>
      </c>
      <c r="M54" s="186"/>
      <c r="N54" s="67"/>
      <c r="O54" s="67">
        <v>-801</v>
      </c>
      <c r="P54" s="67">
        <v>-811</v>
      </c>
      <c r="Q54" s="120">
        <f>+P54-O54</f>
        <v>-10</v>
      </c>
      <c r="R54" s="120">
        <f>+P54-N54</f>
        <v>-811</v>
      </c>
      <c r="S54" s="171">
        <v>-778</v>
      </c>
      <c r="U54" s="132">
        <v>-9607</v>
      </c>
      <c r="V54" s="133">
        <f>+S54-D54</f>
        <v>0</v>
      </c>
      <c r="W54" s="133"/>
      <c r="Y54" s="57"/>
      <c r="Z54" s="57"/>
    </row>
    <row r="55" spans="1:26" ht="18">
      <c r="A55" s="119">
        <f t="shared" si="10"/>
        <v>-453</v>
      </c>
      <c r="B55" s="51">
        <f t="shared" si="10"/>
        <v>-423</v>
      </c>
      <c r="C55" s="169">
        <f>+B55-A55</f>
        <v>30</v>
      </c>
      <c r="D55" s="143">
        <v>-439</v>
      </c>
      <c r="E55" s="175"/>
      <c r="F55" s="133" t="s">
        <v>118</v>
      </c>
      <c r="G55" s="101"/>
      <c r="H55" s="68">
        <v>5140</v>
      </c>
      <c r="I55" s="67"/>
      <c r="J55" s="51">
        <v>5263</v>
      </c>
      <c r="K55" s="51"/>
      <c r="L55" s="51">
        <v>5263</v>
      </c>
      <c r="M55" s="186"/>
      <c r="N55" s="67"/>
      <c r="O55" s="67">
        <v>-453</v>
      </c>
      <c r="P55" s="67">
        <f>-453+30</f>
        <v>-423</v>
      </c>
      <c r="Q55" s="120">
        <f>+P55-O55</f>
        <v>30</v>
      </c>
      <c r="R55" s="120">
        <f>+P55-N55</f>
        <v>-423</v>
      </c>
      <c r="S55" s="171">
        <v>-439</v>
      </c>
      <c r="U55" s="132">
        <v>-5434</v>
      </c>
      <c r="V55" s="133">
        <f>+S55-D55</f>
        <v>0</v>
      </c>
      <c r="W55" s="133"/>
      <c r="Y55" s="57"/>
      <c r="Z55" s="57"/>
    </row>
    <row r="56" spans="1:26" ht="18">
      <c r="A56" s="119">
        <f t="shared" si="10"/>
        <v>17</v>
      </c>
      <c r="B56" s="51">
        <f t="shared" si="10"/>
        <v>17</v>
      </c>
      <c r="C56" s="169">
        <f>+B56-A56</f>
        <v>0</v>
      </c>
      <c r="D56" s="143">
        <v>17</v>
      </c>
      <c r="E56" s="175"/>
      <c r="F56" s="133" t="s">
        <v>119</v>
      </c>
      <c r="G56" s="101"/>
      <c r="H56" s="68">
        <v>-150</v>
      </c>
      <c r="I56" s="67"/>
      <c r="J56" s="51">
        <v>-198</v>
      </c>
      <c r="K56" s="51"/>
      <c r="L56" s="51">
        <v>-198</v>
      </c>
      <c r="M56" s="186"/>
      <c r="N56" s="67"/>
      <c r="O56" s="67">
        <v>17</v>
      </c>
      <c r="P56" s="67">
        <v>17</v>
      </c>
      <c r="Q56" s="120">
        <f>+P56-O56</f>
        <v>0</v>
      </c>
      <c r="R56" s="120">
        <f>+P56-N56</f>
        <v>17</v>
      </c>
      <c r="S56" s="171">
        <v>17</v>
      </c>
      <c r="U56" s="132">
        <v>200</v>
      </c>
      <c r="V56" s="133">
        <f>+S56-D56</f>
        <v>0</v>
      </c>
      <c r="W56" s="133"/>
      <c r="Y56" s="57"/>
      <c r="Z56" s="57"/>
    </row>
    <row r="57" spans="1:26" ht="18">
      <c r="A57" s="119">
        <f t="shared" si="10"/>
        <v>-35</v>
      </c>
      <c r="B57" s="51">
        <f t="shared" si="10"/>
        <v>-55</v>
      </c>
      <c r="C57" s="169">
        <f>+B57-A57</f>
        <v>-20</v>
      </c>
      <c r="D57" s="143"/>
      <c r="E57" s="175"/>
      <c r="F57" s="133" t="s">
        <v>128</v>
      </c>
      <c r="G57" s="101"/>
      <c r="H57" s="68"/>
      <c r="I57" s="67"/>
      <c r="J57" s="51"/>
      <c r="K57" s="51"/>
      <c r="L57" s="51"/>
      <c r="M57" s="186"/>
      <c r="N57" s="67"/>
      <c r="O57" s="67">
        <v>-35</v>
      </c>
      <c r="P57" s="67">
        <v>-55</v>
      </c>
      <c r="Q57" s="120">
        <f>+P57-O57</f>
        <v>-20</v>
      </c>
      <c r="R57" s="120">
        <f>+P57-N57</f>
        <v>-55</v>
      </c>
      <c r="S57" s="171"/>
      <c r="U57" s="132">
        <v>-425</v>
      </c>
      <c r="V57" s="133">
        <f>+S57-D57</f>
        <v>0</v>
      </c>
      <c r="W57" s="133"/>
      <c r="Y57" s="57"/>
      <c r="Z57" s="57"/>
    </row>
    <row r="58" spans="1:23" ht="18">
      <c r="A58" s="125">
        <f>SUM(A53:A57)</f>
        <v>-1272</v>
      </c>
      <c r="B58" s="15">
        <f>SUM(B53:B57)</f>
        <v>-1272</v>
      </c>
      <c r="C58" s="15">
        <f>SUM(C53:C57)</f>
        <v>0</v>
      </c>
      <c r="D58" s="15">
        <f>SUM(D53:D57)</f>
        <v>-1328</v>
      </c>
      <c r="E58" s="176"/>
      <c r="F58" s="135" t="s">
        <v>151</v>
      </c>
      <c r="G58" s="100"/>
      <c r="H58" s="73">
        <f>SUM(H54:H57)</f>
        <v>13462</v>
      </c>
      <c r="I58" s="72"/>
      <c r="J58" s="72">
        <f>SUM(J53:J57)</f>
        <v>16035</v>
      </c>
      <c r="K58" s="72"/>
      <c r="L58" s="72">
        <f>SUM(L53:L57)</f>
        <v>16023</v>
      </c>
      <c r="M58" s="188"/>
      <c r="N58" s="72"/>
      <c r="O58" s="72">
        <f>SUM(O53:O57)</f>
        <v>-1272</v>
      </c>
      <c r="P58" s="72">
        <f>SUM(P53:P57)</f>
        <v>-1272</v>
      </c>
      <c r="Q58" s="122">
        <f>SUM(Q53:Q57)</f>
        <v>0</v>
      </c>
      <c r="R58" s="122">
        <f>SUM(R53:R57)</f>
        <v>-1272</v>
      </c>
      <c r="S58" s="193">
        <f>SUM(S53:S57)</f>
        <v>-1328</v>
      </c>
      <c r="T58" s="75"/>
      <c r="U58" s="135">
        <f>SUM(U53:U57)</f>
        <v>-15266</v>
      </c>
      <c r="V58" s="135">
        <f>+S58-D58</f>
        <v>0</v>
      </c>
      <c r="W58" s="135">
        <f>SUM(W53:W57)</f>
        <v>0</v>
      </c>
    </row>
    <row r="59" spans="1:23" ht="18">
      <c r="A59" s="119"/>
      <c r="B59" s="51"/>
      <c r="C59" s="169"/>
      <c r="D59" s="143"/>
      <c r="E59" s="175"/>
      <c r="F59" s="133"/>
      <c r="G59" s="101"/>
      <c r="H59" s="68"/>
      <c r="I59" s="67"/>
      <c r="J59" s="51"/>
      <c r="K59" s="51"/>
      <c r="L59" s="51"/>
      <c r="M59" s="186"/>
      <c r="N59" s="67"/>
      <c r="O59" s="67"/>
      <c r="P59" s="67"/>
      <c r="Q59" s="120"/>
      <c r="R59" s="120"/>
      <c r="S59" s="171"/>
      <c r="U59" s="132"/>
      <c r="V59" s="133"/>
      <c r="W59" s="133"/>
    </row>
    <row r="60" spans="1:23" ht="18.75" thickBot="1">
      <c r="A60" s="126">
        <f>+A50+A58</f>
        <v>94.19999999999709</v>
      </c>
      <c r="B60" s="17">
        <f>+B50+B58</f>
        <v>99</v>
      </c>
      <c r="C60" s="17">
        <f>+C50+C58</f>
        <v>4.800000000000068</v>
      </c>
      <c r="D60" s="182">
        <f>+D50+D58</f>
        <v>393</v>
      </c>
      <c r="E60" s="178"/>
      <c r="F60" s="139" t="s">
        <v>2</v>
      </c>
      <c r="G60" s="102"/>
      <c r="H60" s="80">
        <f>+H16-H48-H58</f>
        <v>-12182</v>
      </c>
      <c r="I60" s="79"/>
      <c r="J60" s="79">
        <f>+J16-J48-J58</f>
        <v>-10326</v>
      </c>
      <c r="K60" s="79"/>
      <c r="L60" s="79">
        <f>+L16-L48-L58</f>
        <v>-10326</v>
      </c>
      <c r="M60" s="190"/>
      <c r="N60" s="79"/>
      <c r="O60" s="79">
        <f>+O50+O58</f>
        <v>94.19999999999709</v>
      </c>
      <c r="P60" s="79">
        <f>+P50+P58</f>
        <v>99</v>
      </c>
      <c r="Q60" s="79">
        <f>+Q50+Q58</f>
        <v>4.800000000000068</v>
      </c>
      <c r="R60" s="127">
        <f>+N60-P60</f>
        <v>-99</v>
      </c>
      <c r="S60" s="195">
        <f>+S50+S58</f>
        <v>-415</v>
      </c>
      <c r="U60" s="139">
        <f>+U50+U58</f>
        <v>4100</v>
      </c>
      <c r="V60" s="140">
        <f>+S60-D60</f>
        <v>-808</v>
      </c>
      <c r="W60" s="139">
        <f>+W50+W58</f>
        <v>0</v>
      </c>
    </row>
    <row r="61" ht="18.75" thickTop="1"/>
    <row r="62" ht="18">
      <c r="N62" s="57">
        <f>N45+N58</f>
        <v>0</v>
      </c>
    </row>
    <row r="63" spans="1:12" ht="18">
      <c r="A63" s="57"/>
      <c r="B63" s="57"/>
      <c r="C63" s="57"/>
      <c r="D63" s="57"/>
      <c r="E63" s="57"/>
      <c r="J63" s="57"/>
      <c r="K63" s="57"/>
      <c r="L63" s="57"/>
    </row>
  </sheetData>
  <mergeCells count="6">
    <mergeCell ref="A2:W2"/>
    <mergeCell ref="A3:W3"/>
    <mergeCell ref="A5:D5"/>
    <mergeCell ref="N5:S5"/>
    <mergeCell ref="U5:U6"/>
    <mergeCell ref="W5:W6"/>
  </mergeCells>
  <printOptions/>
  <pageMargins left="0.54" right="0.33" top="0.6" bottom="1" header="0.5" footer="0.5"/>
  <pageSetup fitToHeight="1" fitToWidth="1" horizontalDpi="300" verticalDpi="3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H59"/>
  <sheetViews>
    <sheetView tabSelected="1" zoomScale="70" zoomScaleNormal="70" zoomScaleSheetLayoutView="75" workbookViewId="0" topLeftCell="A1">
      <selection activeCell="F28" sqref="F28"/>
    </sheetView>
  </sheetViews>
  <sheetFormatPr defaultColWidth="9.140625" defaultRowHeight="12.75"/>
  <cols>
    <col min="1" max="1" width="12.00390625" style="399" customWidth="1"/>
    <col min="2" max="2" width="10.57421875" style="48" customWidth="1"/>
    <col min="3" max="3" width="13.00390625" style="48" customWidth="1"/>
    <col min="4" max="4" width="11.00390625" style="48" customWidth="1"/>
    <col min="5" max="5" width="2.7109375" style="57" hidden="1" customWidth="1"/>
    <col min="6" max="6" width="33.57421875" style="57" customWidth="1"/>
    <col min="7" max="7" width="2.00390625" style="57" hidden="1" customWidth="1"/>
    <col min="8" max="8" width="13.7109375" style="57" hidden="1" customWidth="1"/>
    <col min="9" max="9" width="3.00390625" style="57" hidden="1" customWidth="1"/>
    <col min="10" max="10" width="13.7109375" style="48" hidden="1" customWidth="1"/>
    <col min="11" max="11" width="1.7109375" style="48" hidden="1" customWidth="1"/>
    <col min="12" max="12" width="13.7109375" style="48" hidden="1" customWidth="1"/>
    <col min="13" max="13" width="2.8515625" style="57" hidden="1" customWidth="1"/>
    <col min="14" max="14" width="2.421875" style="57" hidden="1" customWidth="1"/>
    <col min="15" max="15" width="10.7109375" style="214" customWidth="1"/>
    <col min="16" max="16" width="10.7109375" style="57" customWidth="1"/>
    <col min="17" max="17" width="11.140625" style="57" customWidth="1"/>
    <col min="18" max="18" width="1.8515625" style="57" hidden="1" customWidth="1"/>
    <col min="19" max="19" width="11.00390625" style="57" customWidth="1"/>
    <col min="20" max="20" width="1.28515625" style="57" customWidth="1"/>
    <col min="21" max="21" width="15.57421875" style="57" customWidth="1"/>
    <col min="22" max="22" width="0" style="57" hidden="1" customWidth="1"/>
    <col min="23" max="23" width="0" style="11" hidden="1" customWidth="1"/>
    <col min="24" max="24" width="9.8515625" style="11" hidden="1" customWidth="1"/>
    <col min="25" max="25" width="9.140625" style="11" customWidth="1"/>
    <col min="26" max="26" width="10.7109375" style="214" hidden="1" customWidth="1"/>
    <col min="27" max="27" width="15.140625" style="11" customWidth="1"/>
    <col min="28" max="28" width="9.57421875" style="11" bestFit="1" customWidth="1"/>
    <col min="29" max="16384" width="9.140625" style="11" customWidth="1"/>
  </cols>
  <sheetData>
    <row r="1" spans="6:26" ht="18">
      <c r="F1" s="211"/>
      <c r="G1" s="211"/>
      <c r="H1" s="211"/>
      <c r="I1" s="211"/>
      <c r="J1" s="212"/>
      <c r="K1" s="212"/>
      <c r="L1" s="212"/>
      <c r="M1" s="211"/>
      <c r="N1" s="211"/>
      <c r="O1" s="213"/>
      <c r="P1" s="211"/>
      <c r="Q1" s="211"/>
      <c r="R1" s="211"/>
      <c r="U1" s="211" t="s">
        <v>120</v>
      </c>
      <c r="Z1" s="213"/>
    </row>
    <row r="2" spans="1:26" ht="18">
      <c r="A2" s="541" t="s">
        <v>102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1"/>
      <c r="S2" s="541"/>
      <c r="T2" s="541"/>
      <c r="U2" s="541"/>
      <c r="V2" s="541"/>
      <c r="Z2" s="11"/>
    </row>
    <row r="3" spans="1:26" ht="18">
      <c r="A3" s="541" t="s">
        <v>361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  <c r="S3" s="541"/>
      <c r="T3" s="541"/>
      <c r="U3" s="541"/>
      <c r="V3" s="541"/>
      <c r="Z3" s="11"/>
    </row>
    <row r="4" spans="6:26" ht="18.75" thickBot="1">
      <c r="F4" s="211"/>
      <c r="G4" s="211"/>
      <c r="H4" s="211"/>
      <c r="I4" s="211"/>
      <c r="J4" s="212"/>
      <c r="K4" s="212"/>
      <c r="L4" s="212"/>
      <c r="M4" s="211"/>
      <c r="N4" s="211"/>
      <c r="O4" s="213"/>
      <c r="P4" s="211"/>
      <c r="Q4" s="211"/>
      <c r="R4" s="211"/>
      <c r="S4" s="211"/>
      <c r="Z4" s="213"/>
    </row>
    <row r="5" spans="1:26" ht="24" customHeight="1" thickTop="1">
      <c r="A5" s="532" t="s">
        <v>152</v>
      </c>
      <c r="B5" s="542"/>
      <c r="C5" s="542"/>
      <c r="D5" s="543"/>
      <c r="E5" s="106"/>
      <c r="F5" s="131"/>
      <c r="G5" s="106"/>
      <c r="H5" s="106"/>
      <c r="I5" s="106"/>
      <c r="J5" s="107"/>
      <c r="K5" s="107"/>
      <c r="L5" s="107"/>
      <c r="M5" s="106"/>
      <c r="N5" s="544" t="s">
        <v>153</v>
      </c>
      <c r="O5" s="545"/>
      <c r="P5" s="545"/>
      <c r="Q5" s="545"/>
      <c r="R5" s="545"/>
      <c r="S5" s="546"/>
      <c r="U5" s="537" t="s">
        <v>203</v>
      </c>
      <c r="V5" s="106"/>
      <c r="Z5" s="11"/>
    </row>
    <row r="6" spans="1:26" ht="39.75" customHeight="1">
      <c r="A6" s="499" t="s">
        <v>202</v>
      </c>
      <c r="B6" s="411" t="s">
        <v>157</v>
      </c>
      <c r="C6" s="522" t="s">
        <v>5</v>
      </c>
      <c r="D6" s="500" t="s">
        <v>201</v>
      </c>
      <c r="E6" s="491"/>
      <c r="F6" s="221"/>
      <c r="G6" s="492"/>
      <c r="H6" s="493" t="s">
        <v>123</v>
      </c>
      <c r="I6" s="493"/>
      <c r="J6" s="493" t="s">
        <v>131</v>
      </c>
      <c r="K6" s="493"/>
      <c r="L6" s="493" t="s">
        <v>132</v>
      </c>
      <c r="M6" s="494"/>
      <c r="N6" s="495"/>
      <c r="O6" s="411" t="s">
        <v>202</v>
      </c>
      <c r="P6" s="60" t="s">
        <v>96</v>
      </c>
      <c r="Q6" s="60" t="s">
        <v>5</v>
      </c>
      <c r="R6" s="491" t="s">
        <v>5</v>
      </c>
      <c r="S6" s="500" t="s">
        <v>201</v>
      </c>
      <c r="T6" s="111"/>
      <c r="U6" s="547"/>
      <c r="V6" s="111"/>
      <c r="Z6" s="411" t="s">
        <v>202</v>
      </c>
    </row>
    <row r="7" spans="1:26" ht="18.75" thickBot="1">
      <c r="A7" s="474" t="s">
        <v>0</v>
      </c>
      <c r="B7" s="65" t="s">
        <v>0</v>
      </c>
      <c r="C7" s="439" t="s">
        <v>0</v>
      </c>
      <c r="D7" s="440" t="s">
        <v>0</v>
      </c>
      <c r="E7" s="476"/>
      <c r="F7" s="477"/>
      <c r="G7" s="478"/>
      <c r="H7" s="64" t="s">
        <v>0</v>
      </c>
      <c r="I7" s="64">
        <v>7196</v>
      </c>
      <c r="J7" s="65" t="s">
        <v>0</v>
      </c>
      <c r="K7" s="65"/>
      <c r="L7" s="65" t="s">
        <v>0</v>
      </c>
      <c r="M7" s="479"/>
      <c r="N7" s="480"/>
      <c r="O7" s="65" t="s">
        <v>0</v>
      </c>
      <c r="P7" s="64" t="s">
        <v>0</v>
      </c>
      <c r="Q7" s="64" t="s">
        <v>0</v>
      </c>
      <c r="R7" s="476" t="s">
        <v>0</v>
      </c>
      <c r="S7" s="489" t="s">
        <v>0</v>
      </c>
      <c r="U7" s="225" t="s">
        <v>0</v>
      </c>
      <c r="Z7" s="65" t="s">
        <v>0</v>
      </c>
    </row>
    <row r="8" spans="1:26" ht="18.75" thickTop="1">
      <c r="A8" s="405"/>
      <c r="B8" s="412"/>
      <c r="C8" s="481"/>
      <c r="D8" s="482"/>
      <c r="E8" s="483"/>
      <c r="F8" s="484"/>
      <c r="G8" s="475"/>
      <c r="H8" s="485"/>
      <c r="I8" s="485">
        <v>40572</v>
      </c>
      <c r="J8" s="412"/>
      <c r="K8" s="412"/>
      <c r="L8" s="412"/>
      <c r="M8" s="486"/>
      <c r="N8" s="487"/>
      <c r="O8" s="412"/>
      <c r="P8" s="485"/>
      <c r="Q8" s="485"/>
      <c r="R8" s="206"/>
      <c r="S8" s="118"/>
      <c r="U8" s="132"/>
      <c r="V8" s="216" t="s">
        <v>121</v>
      </c>
      <c r="Z8" s="412"/>
    </row>
    <row r="9" spans="1:26" ht="18">
      <c r="A9" s="398"/>
      <c r="B9" s="51"/>
      <c r="C9" s="169"/>
      <c r="D9" s="143"/>
      <c r="E9" s="111"/>
      <c r="F9" s="134" t="s">
        <v>1</v>
      </c>
      <c r="G9" s="170"/>
      <c r="H9" s="68"/>
      <c r="I9" s="67">
        <v>32038</v>
      </c>
      <c r="J9" s="51"/>
      <c r="K9" s="51"/>
      <c r="L9" s="51"/>
      <c r="M9" s="186"/>
      <c r="N9" s="418"/>
      <c r="O9" s="401"/>
      <c r="P9" s="67"/>
      <c r="Q9" s="67"/>
      <c r="R9" s="111"/>
      <c r="S9" s="120"/>
      <c r="U9" s="132"/>
      <c r="V9" s="217"/>
      <c r="Z9" s="401"/>
    </row>
    <row r="10" spans="1:26" ht="18">
      <c r="A10" s="398"/>
      <c r="B10" s="51"/>
      <c r="C10" s="169"/>
      <c r="D10" s="143"/>
      <c r="E10" s="111"/>
      <c r="F10" s="133"/>
      <c r="G10" s="101"/>
      <c r="H10" s="68"/>
      <c r="I10" s="67">
        <v>5732</v>
      </c>
      <c r="J10" s="51"/>
      <c r="K10" s="51"/>
      <c r="L10" s="51"/>
      <c r="M10" s="186"/>
      <c r="N10" s="418"/>
      <c r="O10" s="401"/>
      <c r="P10" s="67"/>
      <c r="Q10" s="67"/>
      <c r="R10" s="111"/>
      <c r="S10" s="120"/>
      <c r="U10" s="132"/>
      <c r="V10" s="217"/>
      <c r="Z10" s="401"/>
    </row>
    <row r="11" spans="1:27" ht="18">
      <c r="A11" s="398">
        <v>19352</v>
      </c>
      <c r="B11" s="51">
        <v>21094</v>
      </c>
      <c r="C11" s="169">
        <f>+B11-A11</f>
        <v>1742</v>
      </c>
      <c r="D11" s="51">
        <v>21380</v>
      </c>
      <c r="E11" s="111"/>
      <c r="F11" s="133" t="s">
        <v>195</v>
      </c>
      <c r="G11" s="101"/>
      <c r="H11" s="68">
        <v>162675</v>
      </c>
      <c r="I11" s="67"/>
      <c r="J11" s="51">
        <f>168225-59+7735</f>
        <v>175901</v>
      </c>
      <c r="K11" s="51"/>
      <c r="L11" s="51">
        <v>175901</v>
      </c>
      <c r="M11" s="186"/>
      <c r="N11" s="418"/>
      <c r="O11" s="398">
        <v>226264</v>
      </c>
      <c r="P11" s="67">
        <v>240737</v>
      </c>
      <c r="Q11" s="67">
        <f>+P11-O11</f>
        <v>14473</v>
      </c>
      <c r="R11" s="111">
        <f>+P11-N11</f>
        <v>240737</v>
      </c>
      <c r="S11" s="120">
        <v>221653</v>
      </c>
      <c r="U11" s="221">
        <v>226264</v>
      </c>
      <c r="V11" s="57">
        <f>+S11-D11</f>
        <v>200273</v>
      </c>
      <c r="Z11" s="398">
        <v>18909</v>
      </c>
      <c r="AA11" s="57"/>
    </row>
    <row r="12" spans="1:26" ht="18">
      <c r="A12" s="398">
        <v>0</v>
      </c>
      <c r="B12" s="51">
        <v>-305</v>
      </c>
      <c r="C12" s="169">
        <f>+B12-A12</f>
        <v>-305</v>
      </c>
      <c r="D12" s="51">
        <v>0</v>
      </c>
      <c r="E12" s="111"/>
      <c r="F12" s="133" t="s">
        <v>291</v>
      </c>
      <c r="G12" s="101"/>
      <c r="H12" s="68"/>
      <c r="I12" s="67"/>
      <c r="J12" s="51"/>
      <c r="K12" s="51"/>
      <c r="L12" s="51"/>
      <c r="M12" s="186"/>
      <c r="N12" s="418"/>
      <c r="O12" s="398">
        <v>0</v>
      </c>
      <c r="P12" s="208">
        <v>-3498</v>
      </c>
      <c r="Q12" s="67">
        <f>+P12-O12</f>
        <v>-3498</v>
      </c>
      <c r="R12" s="111"/>
      <c r="S12" s="217">
        <v>0</v>
      </c>
      <c r="U12" s="221">
        <v>0</v>
      </c>
      <c r="Z12" s="398"/>
    </row>
    <row r="13" spans="1:26" ht="18">
      <c r="A13" s="398">
        <v>958</v>
      </c>
      <c r="B13" s="51">
        <v>1463</v>
      </c>
      <c r="C13" s="169">
        <f>+B13-A13</f>
        <v>505</v>
      </c>
      <c r="D13" s="205">
        <v>411</v>
      </c>
      <c r="E13" s="111"/>
      <c r="F13" s="133" t="s">
        <v>196</v>
      </c>
      <c r="G13" s="101"/>
      <c r="H13" s="68">
        <v>12592</v>
      </c>
      <c r="I13" s="67"/>
      <c r="J13" s="51">
        <f>-178232+194457</f>
        <v>16225</v>
      </c>
      <c r="K13" s="51"/>
      <c r="L13" s="51">
        <v>16225</v>
      </c>
      <c r="M13" s="186"/>
      <c r="N13" s="418"/>
      <c r="O13" s="398">
        <v>11501</v>
      </c>
      <c r="P13" s="67">
        <v>10730</v>
      </c>
      <c r="Q13" s="67">
        <f>+P13-O13</f>
        <v>-771</v>
      </c>
      <c r="R13" s="111">
        <f>+P13-N13</f>
        <v>10730</v>
      </c>
      <c r="S13" s="120">
        <v>13517</v>
      </c>
      <c r="U13" s="221">
        <v>11501</v>
      </c>
      <c r="V13" s="71">
        <f>+S14-D13</f>
        <v>3334</v>
      </c>
      <c r="Z13" s="398">
        <v>1010</v>
      </c>
    </row>
    <row r="14" spans="1:26" ht="18">
      <c r="A14" s="398">
        <v>325</v>
      </c>
      <c r="B14" s="51">
        <v>410</v>
      </c>
      <c r="C14" s="169">
        <f>+B14-A14</f>
        <v>85</v>
      </c>
      <c r="D14" s="205">
        <v>361</v>
      </c>
      <c r="E14" s="111"/>
      <c r="F14" s="133" t="s">
        <v>197</v>
      </c>
      <c r="G14" s="101"/>
      <c r="H14" s="68">
        <v>12592</v>
      </c>
      <c r="I14" s="67">
        <v>100411</v>
      </c>
      <c r="J14" s="51">
        <f>-178232+194457</f>
        <v>16225</v>
      </c>
      <c r="K14" s="51"/>
      <c r="L14" s="51">
        <v>16225</v>
      </c>
      <c r="M14" s="186"/>
      <c r="N14" s="418"/>
      <c r="O14" s="398">
        <v>4066</v>
      </c>
      <c r="P14" s="67">
        <v>3922</v>
      </c>
      <c r="Q14" s="67">
        <f>+P14-O14</f>
        <v>-144</v>
      </c>
      <c r="R14" s="111">
        <f>+P14-N14</f>
        <v>3922</v>
      </c>
      <c r="S14" s="120">
        <v>3745</v>
      </c>
      <c r="U14" s="221">
        <v>4066</v>
      </c>
      <c r="V14" s="71">
        <f>+S15-D14</f>
        <v>23606</v>
      </c>
      <c r="Z14" s="398">
        <v>321</v>
      </c>
    </row>
    <row r="15" spans="1:26" ht="18">
      <c r="A15" s="398">
        <v>1681</v>
      </c>
      <c r="B15" s="51">
        <f>1804+29</f>
        <v>1833</v>
      </c>
      <c r="C15" s="169">
        <f>+B15-A15</f>
        <v>152</v>
      </c>
      <c r="D15" s="205">
        <v>2026</v>
      </c>
      <c r="E15" s="111"/>
      <c r="F15" s="133" t="s">
        <v>198</v>
      </c>
      <c r="G15" s="101"/>
      <c r="H15" s="68"/>
      <c r="I15" s="67">
        <v>137293</v>
      </c>
      <c r="J15" s="51">
        <v>2800</v>
      </c>
      <c r="K15" s="51"/>
      <c r="L15" s="51">
        <v>2800</v>
      </c>
      <c r="M15" s="186"/>
      <c r="N15" s="418"/>
      <c r="O15" s="398">
        <v>20052</v>
      </c>
      <c r="P15" s="67">
        <f>21060+29</f>
        <v>21089</v>
      </c>
      <c r="Q15" s="67">
        <f>+P15-O15</f>
        <v>1037</v>
      </c>
      <c r="R15" s="111">
        <f>+P15-N15</f>
        <v>21089</v>
      </c>
      <c r="S15" s="120">
        <v>23967</v>
      </c>
      <c r="U15" s="221">
        <v>20052</v>
      </c>
      <c r="V15" s="57" t="e">
        <f>+#REF!-D15</f>
        <v>#REF!</v>
      </c>
      <c r="Z15" s="398">
        <f>1768-112</f>
        <v>1656</v>
      </c>
    </row>
    <row r="16" spans="1:26" ht="18">
      <c r="A16" s="416"/>
      <c r="B16" s="205"/>
      <c r="C16" s="169"/>
      <c r="D16" s="414"/>
      <c r="E16" s="111"/>
      <c r="F16" s="133"/>
      <c r="G16" s="101"/>
      <c r="H16" s="68"/>
      <c r="I16" s="67"/>
      <c r="J16" s="51"/>
      <c r="K16" s="51"/>
      <c r="L16" s="51"/>
      <c r="M16" s="186"/>
      <c r="N16" s="418"/>
      <c r="O16" s="416"/>
      <c r="P16" s="67"/>
      <c r="Q16" s="67"/>
      <c r="R16" s="111"/>
      <c r="S16" s="413"/>
      <c r="U16" s="221"/>
      <c r="Z16" s="416"/>
    </row>
    <row r="17" spans="1:28" ht="18">
      <c r="A17" s="430">
        <f>SUM(A10:A15)</f>
        <v>22316</v>
      </c>
      <c r="B17" s="72">
        <f>SUM(B10:B15)</f>
        <v>24495</v>
      </c>
      <c r="C17" s="52">
        <f>SUM(C8:C15)</f>
        <v>2179</v>
      </c>
      <c r="D17" s="144">
        <f>SUM(D11:D15)</f>
        <v>24178</v>
      </c>
      <c r="E17" s="75"/>
      <c r="F17" s="135" t="s">
        <v>124</v>
      </c>
      <c r="G17" s="100"/>
      <c r="H17" s="73">
        <f>SUM(H11:H15)</f>
        <v>187859</v>
      </c>
      <c r="I17" s="74"/>
      <c r="J17" s="72">
        <f>SUM(J11:J15)</f>
        <v>211151</v>
      </c>
      <c r="K17" s="72"/>
      <c r="L17" s="72">
        <f>SUM(L11:L15)</f>
        <v>211151</v>
      </c>
      <c r="M17" s="187"/>
      <c r="N17" s="419"/>
      <c r="O17" s="430">
        <f>SUM(O10:O15)</f>
        <v>261883</v>
      </c>
      <c r="P17" s="72">
        <f>SUM(P11:P15)</f>
        <v>272980</v>
      </c>
      <c r="Q17" s="72">
        <f>SUM(Q11:Q15)</f>
        <v>11097</v>
      </c>
      <c r="R17" s="75">
        <f>SUM(R11:R15)</f>
        <v>276478</v>
      </c>
      <c r="S17" s="122">
        <f>SUM(S11:S15)</f>
        <v>262882</v>
      </c>
      <c r="U17" s="135">
        <f>SUM(U11:U15)</f>
        <v>261883</v>
      </c>
      <c r="V17" s="217">
        <f>+S17-D17</f>
        <v>238704</v>
      </c>
      <c r="Z17" s="222">
        <f>SUM(Z10:Z15)</f>
        <v>21896</v>
      </c>
      <c r="AB17" s="57"/>
    </row>
    <row r="18" spans="1:26" ht="18">
      <c r="A18" s="405"/>
      <c r="B18" s="67"/>
      <c r="C18" s="169"/>
      <c r="D18" s="143"/>
      <c r="E18" s="111"/>
      <c r="F18" s="133"/>
      <c r="G18" s="101"/>
      <c r="H18" s="68"/>
      <c r="I18" s="67">
        <v>85285</v>
      </c>
      <c r="J18" s="51"/>
      <c r="K18" s="51"/>
      <c r="L18" s="51"/>
      <c r="M18" s="186"/>
      <c r="N18" s="418"/>
      <c r="O18" s="401"/>
      <c r="P18" s="67"/>
      <c r="Q18" s="67"/>
      <c r="R18" s="111"/>
      <c r="S18" s="120"/>
      <c r="U18" s="132"/>
      <c r="V18" s="217"/>
      <c r="Z18" s="401"/>
    </row>
    <row r="19" spans="1:26" ht="18">
      <c r="A19" s="398"/>
      <c r="B19" s="67"/>
      <c r="C19" s="169"/>
      <c r="D19" s="143"/>
      <c r="E19" s="111"/>
      <c r="F19" s="134" t="s">
        <v>103</v>
      </c>
      <c r="G19" s="170"/>
      <c r="H19" s="68"/>
      <c r="I19" s="67"/>
      <c r="J19" s="51"/>
      <c r="K19" s="51"/>
      <c r="L19" s="51"/>
      <c r="M19" s="186"/>
      <c r="N19" s="418"/>
      <c r="O19" s="398"/>
      <c r="P19" s="67"/>
      <c r="Q19" s="67"/>
      <c r="R19" s="111"/>
      <c r="S19" s="120"/>
      <c r="U19" s="132"/>
      <c r="V19" s="217"/>
      <c r="Z19" s="401"/>
    </row>
    <row r="20" spans="1:26" ht="18">
      <c r="A20" s="398"/>
      <c r="B20" s="67"/>
      <c r="C20" s="169"/>
      <c r="D20" s="403"/>
      <c r="E20" s="111"/>
      <c r="F20" s="134"/>
      <c r="G20" s="170"/>
      <c r="H20" s="68"/>
      <c r="I20" s="67"/>
      <c r="J20" s="51"/>
      <c r="K20" s="51"/>
      <c r="L20" s="51"/>
      <c r="M20" s="186"/>
      <c r="N20" s="418"/>
      <c r="O20" s="398"/>
      <c r="P20" s="67"/>
      <c r="Q20" s="67"/>
      <c r="R20" s="111"/>
      <c r="S20" s="120"/>
      <c r="U20" s="132"/>
      <c r="V20" s="217"/>
      <c r="Z20" s="401"/>
    </row>
    <row r="21" spans="1:29" ht="18">
      <c r="A21" s="398">
        <f>-2530+249</f>
        <v>-2281</v>
      </c>
      <c r="B21" s="401">
        <v>-2896</v>
      </c>
      <c r="C21" s="169">
        <f>+B21-A21</f>
        <v>-615</v>
      </c>
      <c r="D21" s="169">
        <v>-2803</v>
      </c>
      <c r="E21" s="111">
        <v>-2263</v>
      </c>
      <c r="F21" s="133" t="s">
        <v>191</v>
      </c>
      <c r="G21" s="170"/>
      <c r="H21" s="68"/>
      <c r="I21" s="67"/>
      <c r="J21" s="51"/>
      <c r="K21" s="51"/>
      <c r="L21" s="51"/>
      <c r="M21" s="186"/>
      <c r="N21" s="418"/>
      <c r="O21" s="398">
        <v>-28645</v>
      </c>
      <c r="P21" s="169">
        <v>-30531</v>
      </c>
      <c r="Q21" s="169">
        <f>+P21-O21</f>
        <v>-1886</v>
      </c>
      <c r="R21" s="111"/>
      <c r="S21" s="120">
        <v>-29570</v>
      </c>
      <c r="U21" s="221">
        <f>-29945+1300</f>
        <v>-28645</v>
      </c>
      <c r="V21" s="217"/>
      <c r="X21" s="208">
        <v>-21477</v>
      </c>
      <c r="Z21" s="205">
        <v>-2460</v>
      </c>
      <c r="AA21" s="490"/>
      <c r="AC21" s="490"/>
    </row>
    <row r="22" spans="1:29" ht="18">
      <c r="A22" s="398">
        <f>-1918+54</f>
        <v>-1864</v>
      </c>
      <c r="B22" s="401">
        <v>-2349</v>
      </c>
      <c r="C22" s="169">
        <f>+B22-A22</f>
        <v>-485</v>
      </c>
      <c r="D22" s="169">
        <v>-2214</v>
      </c>
      <c r="E22" s="111">
        <v>-1648</v>
      </c>
      <c r="F22" s="133" t="s">
        <v>192</v>
      </c>
      <c r="G22" s="170"/>
      <c r="H22" s="68"/>
      <c r="I22" s="67"/>
      <c r="J22" s="51"/>
      <c r="K22" s="51"/>
      <c r="L22" s="51"/>
      <c r="M22" s="186"/>
      <c r="N22" s="418"/>
      <c r="O22" s="398">
        <v>-22505</v>
      </c>
      <c r="P22" s="169">
        <v>-25833</v>
      </c>
      <c r="Q22" s="169">
        <f>+P22-O22</f>
        <v>-3328</v>
      </c>
      <c r="R22" s="111"/>
      <c r="S22" s="120">
        <v>-23510</v>
      </c>
      <c r="U22" s="221">
        <f>-22878+373</f>
        <v>-22505</v>
      </c>
      <c r="V22" s="217"/>
      <c r="X22" s="208">
        <v>-16342</v>
      </c>
      <c r="Z22" s="205">
        <v>-1863</v>
      </c>
      <c r="AA22" s="490"/>
      <c r="AC22" s="490"/>
    </row>
    <row r="23" spans="1:30" ht="18">
      <c r="A23" s="398">
        <f>-5509+460</f>
        <v>-5049</v>
      </c>
      <c r="B23" s="401">
        <v>-5861</v>
      </c>
      <c r="C23" s="169">
        <f>+B23-A23</f>
        <v>-812</v>
      </c>
      <c r="D23" s="169">
        <v>-5393</v>
      </c>
      <c r="E23" s="111">
        <v>-5362</v>
      </c>
      <c r="F23" s="133" t="s">
        <v>104</v>
      </c>
      <c r="G23" s="170"/>
      <c r="H23" s="68"/>
      <c r="I23" s="67"/>
      <c r="J23" s="51"/>
      <c r="K23" s="51"/>
      <c r="L23" s="51"/>
      <c r="M23" s="186"/>
      <c r="N23" s="418"/>
      <c r="O23" s="398">
        <v>-62339</v>
      </c>
      <c r="P23" s="169">
        <v>-67117</v>
      </c>
      <c r="Q23" s="169">
        <f>+P23-O23</f>
        <v>-4778</v>
      </c>
      <c r="R23" s="111"/>
      <c r="S23" s="120">
        <v>-66212</v>
      </c>
      <c r="U23" s="221">
        <f>-66507+4168</f>
        <v>-62339</v>
      </c>
      <c r="V23" s="217"/>
      <c r="X23" s="67">
        <v>-46778</v>
      </c>
      <c r="Z23" s="205">
        <v>-5399</v>
      </c>
      <c r="AA23" s="441"/>
      <c r="AB23" s="196"/>
      <c r="AC23" s="441"/>
      <c r="AD23" s="196"/>
    </row>
    <row r="24" spans="1:29" ht="18">
      <c r="A24" s="398">
        <f>-2279+102</f>
        <v>-2177</v>
      </c>
      <c r="B24" s="401">
        <v>-2303</v>
      </c>
      <c r="C24" s="169">
        <f>+B24-A24</f>
        <v>-126</v>
      </c>
      <c r="D24" s="169">
        <v>-2211</v>
      </c>
      <c r="E24" s="111">
        <v>-2131</v>
      </c>
      <c r="F24" s="133" t="s">
        <v>199</v>
      </c>
      <c r="G24" s="170"/>
      <c r="H24" s="68"/>
      <c r="I24" s="67"/>
      <c r="J24" s="51"/>
      <c r="K24" s="51"/>
      <c r="L24" s="51"/>
      <c r="M24" s="186"/>
      <c r="N24" s="418"/>
      <c r="O24" s="398">
        <v>-26496</v>
      </c>
      <c r="P24" s="169">
        <v>-27113</v>
      </c>
      <c r="Q24" s="169">
        <f>+P24-O24</f>
        <v>-617</v>
      </c>
      <c r="R24" s="111"/>
      <c r="S24" s="120">
        <v>-26037</v>
      </c>
      <c r="U24" s="221">
        <f>-27444+948</f>
        <v>-26496</v>
      </c>
      <c r="V24" s="217"/>
      <c r="X24" s="67">
        <v>-20911</v>
      </c>
      <c r="Z24" s="205">
        <v>-2212</v>
      </c>
      <c r="AA24" s="490"/>
      <c r="AC24" s="490"/>
    </row>
    <row r="25" spans="1:29" ht="18">
      <c r="A25" s="398">
        <f>-3036+121</f>
        <v>-2915</v>
      </c>
      <c r="B25" s="401">
        <v>-3084</v>
      </c>
      <c r="C25" s="169">
        <f>+B25-A25</f>
        <v>-169</v>
      </c>
      <c r="D25" s="169">
        <v>-2677</v>
      </c>
      <c r="E25" s="111">
        <v>-2478</v>
      </c>
      <c r="F25" s="133" t="s">
        <v>200</v>
      </c>
      <c r="G25" s="170"/>
      <c r="H25" s="68"/>
      <c r="I25" s="67"/>
      <c r="J25" s="51"/>
      <c r="K25" s="51"/>
      <c r="L25" s="51"/>
      <c r="M25" s="186"/>
      <c r="N25" s="418"/>
      <c r="O25" s="398">
        <v>-34237</v>
      </c>
      <c r="P25" s="169">
        <v>-35953</v>
      </c>
      <c r="Q25" s="169">
        <f>+P25-O25</f>
        <v>-1716</v>
      </c>
      <c r="R25" s="111"/>
      <c r="S25" s="120">
        <v>-31904</v>
      </c>
      <c r="U25" s="221">
        <f>-35759+1522</f>
        <v>-34237</v>
      </c>
      <c r="V25" s="217"/>
      <c r="X25" s="67">
        <f>-23229-23+1</f>
        <v>-23251</v>
      </c>
      <c r="Z25" s="426">
        <v>-2855</v>
      </c>
      <c r="AA25" s="497"/>
      <c r="AB25" s="210"/>
      <c r="AC25" s="490"/>
    </row>
    <row r="26" spans="1:28" ht="18">
      <c r="A26" s="398"/>
      <c r="B26" s="401"/>
      <c r="C26" s="169"/>
      <c r="D26" s="169"/>
      <c r="E26" s="111"/>
      <c r="F26" s="133"/>
      <c r="G26" s="170"/>
      <c r="H26" s="68"/>
      <c r="I26" s="67"/>
      <c r="J26" s="51"/>
      <c r="K26" s="51"/>
      <c r="L26" s="51"/>
      <c r="M26" s="186"/>
      <c r="N26" s="418"/>
      <c r="O26" s="398"/>
      <c r="P26" s="169"/>
      <c r="Q26" s="169"/>
      <c r="R26" s="111"/>
      <c r="S26" s="403"/>
      <c r="U26" s="221"/>
      <c r="V26" s="217"/>
      <c r="X26" s="67"/>
      <c r="Z26" s="429">
        <v>90</v>
      </c>
      <c r="AA26" s="210"/>
      <c r="AB26" s="210"/>
    </row>
    <row r="27" spans="1:28" ht="18">
      <c r="A27" s="398"/>
      <c r="B27" s="67"/>
      <c r="C27" s="169"/>
      <c r="D27" s="401"/>
      <c r="E27" s="111"/>
      <c r="F27" s="133"/>
      <c r="G27" s="101"/>
      <c r="H27" s="68"/>
      <c r="I27" s="67"/>
      <c r="J27" s="51"/>
      <c r="K27" s="51"/>
      <c r="L27" s="51"/>
      <c r="M27" s="186"/>
      <c r="N27" s="418"/>
      <c r="O27" s="398"/>
      <c r="P27" s="67"/>
      <c r="Q27" s="169"/>
      <c r="R27" s="111"/>
      <c r="S27" s="143"/>
      <c r="U27" s="132"/>
      <c r="V27" s="217"/>
      <c r="X27" s="67"/>
      <c r="Z27" s="205"/>
      <c r="AA27" s="210"/>
      <c r="AB27" s="210"/>
    </row>
    <row r="28" spans="1:34" s="16" customFormat="1" ht="18">
      <c r="A28" s="222">
        <f>SUM(A21:A27)</f>
        <v>-14286</v>
      </c>
      <c r="B28" s="72">
        <f>SUM(B21:B27)</f>
        <v>-16493</v>
      </c>
      <c r="C28" s="52">
        <f>SUM(C21:C27)</f>
        <v>-2207</v>
      </c>
      <c r="D28" s="144">
        <f>SUM(D21:D27)</f>
        <v>-15298</v>
      </c>
      <c r="E28" s="75"/>
      <c r="F28" s="135" t="s">
        <v>110</v>
      </c>
      <c r="G28" s="100"/>
      <c r="H28" s="73">
        <f>SUM(H27:H27)</f>
        <v>0</v>
      </c>
      <c r="I28" s="72"/>
      <c r="J28" s="52">
        <f>SUM(J27:J27)</f>
        <v>0</v>
      </c>
      <c r="K28" s="52"/>
      <c r="L28" s="52">
        <f>SUM(L27:L27)</f>
        <v>0</v>
      </c>
      <c r="M28" s="188"/>
      <c r="N28" s="420"/>
      <c r="O28" s="193">
        <f>SUM(O21:O27)</f>
        <v>-174222</v>
      </c>
      <c r="P28" s="72">
        <f>SUM(P21:P27)</f>
        <v>-186547</v>
      </c>
      <c r="Q28" s="72">
        <f>SUM(Q21:Q27)</f>
        <v>-12325</v>
      </c>
      <c r="R28" s="75">
        <f>SUM(R27:R27)</f>
        <v>0</v>
      </c>
      <c r="S28" s="122">
        <f>SUM(S21:S27)</f>
        <v>-177233</v>
      </c>
      <c r="T28" s="217"/>
      <c r="U28" s="138">
        <f>SUM(U21:U27)</f>
        <v>-174222</v>
      </c>
      <c r="V28" s="217">
        <f>+S28-D28</f>
        <v>-161935</v>
      </c>
      <c r="X28" s="72">
        <f>SUM(X21:X27)</f>
        <v>-128759</v>
      </c>
      <c r="Z28" s="496">
        <f>SUM(Z21:Z27)</f>
        <v>-14699</v>
      </c>
      <c r="AA28" s="209"/>
      <c r="AB28" s="57"/>
      <c r="AC28" s="11"/>
      <c r="AE28" s="11"/>
      <c r="AF28" s="11"/>
      <c r="AG28" s="11"/>
      <c r="AH28" s="11"/>
    </row>
    <row r="29" spans="1:28" ht="18">
      <c r="A29" s="398"/>
      <c r="B29" s="454"/>
      <c r="C29" s="169"/>
      <c r="D29" s="143"/>
      <c r="E29" s="111"/>
      <c r="F29" s="133"/>
      <c r="G29" s="101"/>
      <c r="H29" s="68"/>
      <c r="I29" s="67"/>
      <c r="J29" s="51"/>
      <c r="K29" s="51"/>
      <c r="L29" s="51"/>
      <c r="M29" s="186"/>
      <c r="N29" s="418"/>
      <c r="O29" s="398"/>
      <c r="P29" s="67"/>
      <c r="Q29" s="67"/>
      <c r="R29" s="111"/>
      <c r="S29" s="143"/>
      <c r="U29" s="132"/>
      <c r="V29" s="217"/>
      <c r="X29" s="67"/>
      <c r="Z29" s="205"/>
      <c r="AA29" s="210"/>
      <c r="AB29" s="210"/>
    </row>
    <row r="30" spans="1:26" ht="18">
      <c r="A30" s="398"/>
      <c r="B30" s="51"/>
      <c r="C30" s="169"/>
      <c r="D30" s="143"/>
      <c r="E30" s="111"/>
      <c r="F30" s="134" t="s">
        <v>111</v>
      </c>
      <c r="G30" s="170"/>
      <c r="H30" s="68"/>
      <c r="I30" s="67"/>
      <c r="J30" s="51"/>
      <c r="K30" s="51"/>
      <c r="L30" s="51"/>
      <c r="M30" s="186"/>
      <c r="N30" s="418"/>
      <c r="O30" s="398"/>
      <c r="P30" s="67"/>
      <c r="Q30" s="67"/>
      <c r="R30" s="111"/>
      <c r="S30" s="143"/>
      <c r="U30" s="132"/>
      <c r="V30" s="217"/>
      <c r="X30" s="67"/>
      <c r="Z30" s="401"/>
    </row>
    <row r="31" spans="1:26" ht="18">
      <c r="A31" s="398"/>
      <c r="B31" s="51"/>
      <c r="C31" s="51"/>
      <c r="D31" s="529"/>
      <c r="E31" s="111"/>
      <c r="F31" s="133"/>
      <c r="G31" s="101"/>
      <c r="H31" s="68"/>
      <c r="I31" s="67"/>
      <c r="J31" s="51"/>
      <c r="K31" s="51"/>
      <c r="L31" s="51"/>
      <c r="M31" s="186"/>
      <c r="N31" s="418"/>
      <c r="O31" s="398"/>
      <c r="P31" s="67"/>
      <c r="Q31" s="67"/>
      <c r="R31" s="111"/>
      <c r="S31" s="143"/>
      <c r="U31" s="132"/>
      <c r="V31" s="217"/>
      <c r="X31" s="67"/>
      <c r="Z31" s="401"/>
    </row>
    <row r="32" spans="1:28" ht="18">
      <c r="A32" s="457">
        <f>-1377+41</f>
        <v>-1336</v>
      </c>
      <c r="B32" s="67">
        <v>-1747</v>
      </c>
      <c r="C32" s="67">
        <f aca="true" t="shared" si="0" ref="C32:C37">+B32-A32</f>
        <v>-411</v>
      </c>
      <c r="D32" s="443">
        <v>-1521</v>
      </c>
      <c r="E32" s="111"/>
      <c r="F32" s="133" t="s">
        <v>112</v>
      </c>
      <c r="G32" s="101"/>
      <c r="H32" s="68">
        <v>10304</v>
      </c>
      <c r="I32" s="67"/>
      <c r="J32" s="51">
        <v>11832</v>
      </c>
      <c r="K32" s="51"/>
      <c r="L32" s="51">
        <v>11832</v>
      </c>
      <c r="M32" s="186"/>
      <c r="N32" s="418"/>
      <c r="O32" s="398">
        <v>-16015</v>
      </c>
      <c r="P32" s="67">
        <f>-17277+B32</f>
        <v>-19024</v>
      </c>
      <c r="Q32" s="67">
        <f aca="true" t="shared" si="1" ref="Q32:Q37">+P32-O32</f>
        <v>-3009</v>
      </c>
      <c r="R32" s="111">
        <f aca="true" t="shared" si="2" ref="R32:R38">+P32-N32</f>
        <v>-19024</v>
      </c>
      <c r="S32" s="143">
        <v>-16523</v>
      </c>
      <c r="U32" s="221">
        <f>-16524+509</f>
        <v>-16015</v>
      </c>
      <c r="V32" s="57">
        <f>+S32-D32</f>
        <v>-15002</v>
      </c>
      <c r="X32" s="67">
        <v>-14012</v>
      </c>
      <c r="Y32"/>
      <c r="Z32" s="205"/>
      <c r="AB32" s="57"/>
    </row>
    <row r="33" spans="1:28" ht="18">
      <c r="A33" s="398">
        <f>-2236+43</f>
        <v>-2193</v>
      </c>
      <c r="B33" s="67">
        <v>-2669</v>
      </c>
      <c r="C33" s="67">
        <f t="shared" si="0"/>
        <v>-476</v>
      </c>
      <c r="D33" s="443">
        <v>-2185</v>
      </c>
      <c r="E33" s="111"/>
      <c r="F33" s="133" t="s">
        <v>125</v>
      </c>
      <c r="G33" s="101"/>
      <c r="H33" s="68">
        <v>18348</v>
      </c>
      <c r="I33" s="67"/>
      <c r="J33" s="51">
        <f>1211+5036+149+119+131+23+382+1948+83+79+1417+3132+2299+127+2774+1780+104+300+7+26+2+77</f>
        <v>21206</v>
      </c>
      <c r="K33" s="51"/>
      <c r="L33" s="51">
        <f>1211+5036+149+119+131+23+382+1948+83+79+1417+3132+2299+127+2774+1780+104+300+7+26+2+77</f>
        <v>21206</v>
      </c>
      <c r="M33" s="186"/>
      <c r="N33" s="418"/>
      <c r="O33" s="398">
        <v>-26284</v>
      </c>
      <c r="P33" s="67">
        <f>-24673+B33</f>
        <v>-27342</v>
      </c>
      <c r="Q33" s="67">
        <f t="shared" si="1"/>
        <v>-1058</v>
      </c>
      <c r="R33" s="111">
        <f t="shared" si="2"/>
        <v>-27342</v>
      </c>
      <c r="S33" s="143">
        <v>-25962</v>
      </c>
      <c r="U33" s="221">
        <f>-27341+988+69</f>
        <v>-26284</v>
      </c>
      <c r="V33" s="57">
        <f>+S33-D33</f>
        <v>-23777</v>
      </c>
      <c r="X33" s="67">
        <v>-19642</v>
      </c>
      <c r="Y33"/>
      <c r="Z33" s="205"/>
      <c r="AB33" s="57"/>
    </row>
    <row r="34" spans="1:30" ht="18">
      <c r="A34" s="398">
        <f>-379+8</f>
        <v>-371</v>
      </c>
      <c r="B34" s="67">
        <v>-349</v>
      </c>
      <c r="C34" s="67">
        <f t="shared" si="0"/>
        <v>22</v>
      </c>
      <c r="D34" s="443">
        <v>-481</v>
      </c>
      <c r="E34" s="111"/>
      <c r="F34" s="133" t="s">
        <v>126</v>
      </c>
      <c r="G34" s="101"/>
      <c r="H34" s="68">
        <v>5150</v>
      </c>
      <c r="I34" s="67"/>
      <c r="J34" s="51">
        <f>973+64+620+163+134+409+151+158+459</f>
        <v>3131</v>
      </c>
      <c r="K34" s="51"/>
      <c r="L34" s="51">
        <v>3131</v>
      </c>
      <c r="M34" s="186"/>
      <c r="N34" s="418"/>
      <c r="O34" s="398">
        <v>-3814</v>
      </c>
      <c r="P34" s="67">
        <f>-4035+B34+2</f>
        <v>-4382</v>
      </c>
      <c r="Q34" s="67">
        <f t="shared" si="1"/>
        <v>-568</v>
      </c>
      <c r="R34" s="111">
        <f t="shared" si="2"/>
        <v>-4382</v>
      </c>
      <c r="S34" s="143">
        <v>-4655</v>
      </c>
      <c r="U34" s="221">
        <f>-4194+380</f>
        <v>-3814</v>
      </c>
      <c r="X34" s="67">
        <v>-3737</v>
      </c>
      <c r="Y34"/>
      <c r="Z34" s="205"/>
      <c r="AA34" s="490"/>
      <c r="AB34" s="57"/>
      <c r="AD34" s="490"/>
    </row>
    <row r="35" spans="1:30" ht="18">
      <c r="A35" s="398">
        <f>-1019+40</f>
        <v>-979</v>
      </c>
      <c r="B35" s="67">
        <v>-1276</v>
      </c>
      <c r="C35" s="67">
        <f t="shared" si="0"/>
        <v>-297</v>
      </c>
      <c r="D35" s="443">
        <v>-987</v>
      </c>
      <c r="E35" s="111"/>
      <c r="F35" s="133" t="s">
        <v>127</v>
      </c>
      <c r="G35" s="101"/>
      <c r="H35" s="68">
        <v>4215</v>
      </c>
      <c r="I35" s="67"/>
      <c r="J35" s="51">
        <v>6653</v>
      </c>
      <c r="K35" s="51"/>
      <c r="L35" s="51">
        <f>459+797+1353+78+218+366+83+91+808+270+1307+726</f>
        <v>6556</v>
      </c>
      <c r="M35" s="186"/>
      <c r="N35" s="418"/>
      <c r="O35" s="398">
        <v>-12080</v>
      </c>
      <c r="P35" s="67">
        <f>-12082+B35</f>
        <v>-13358</v>
      </c>
      <c r="Q35" s="67">
        <f t="shared" si="1"/>
        <v>-1278</v>
      </c>
      <c r="R35" s="111">
        <f t="shared" si="2"/>
        <v>-13358</v>
      </c>
      <c r="S35" s="143">
        <v>-11670</v>
      </c>
      <c r="U35" s="221">
        <f>-12193+113</f>
        <v>-12080</v>
      </c>
      <c r="X35" s="67">
        <v>-7556</v>
      </c>
      <c r="Y35"/>
      <c r="Z35" s="205"/>
      <c r="AA35" s="490"/>
      <c r="AB35" s="57"/>
      <c r="AD35" s="490"/>
    </row>
    <row r="36" spans="1:30" ht="18">
      <c r="A36" s="398">
        <f>-961+41</f>
        <v>-920</v>
      </c>
      <c r="B36" s="67">
        <f>-1267-36</f>
        <v>-1303</v>
      </c>
      <c r="C36" s="67">
        <f t="shared" si="0"/>
        <v>-383</v>
      </c>
      <c r="D36" s="209">
        <v>-543</v>
      </c>
      <c r="E36" s="111"/>
      <c r="F36" s="133" t="s">
        <v>129</v>
      </c>
      <c r="G36" s="101"/>
      <c r="H36" s="68"/>
      <c r="I36" s="67"/>
      <c r="J36" s="51"/>
      <c r="K36" s="51"/>
      <c r="L36" s="51">
        <f>2622+1370+537+1450+307</f>
        <v>6286</v>
      </c>
      <c r="M36" s="186"/>
      <c r="N36" s="418"/>
      <c r="O36" s="398">
        <v>-11784</v>
      </c>
      <c r="P36" s="67">
        <f>-10678+B36</f>
        <v>-11981</v>
      </c>
      <c r="Q36" s="67">
        <f t="shared" si="1"/>
        <v>-197</v>
      </c>
      <c r="R36" s="111">
        <f t="shared" si="2"/>
        <v>-11981</v>
      </c>
      <c r="S36" s="143">
        <v>-10653</v>
      </c>
      <c r="U36" s="221">
        <f>-20491-U47+198</f>
        <v>-11784</v>
      </c>
      <c r="X36" s="208">
        <v>-8923</v>
      </c>
      <c r="Y36" s="410"/>
      <c r="Z36" s="426"/>
      <c r="AA36" s="441"/>
      <c r="AB36" s="57"/>
      <c r="AC36" s="196"/>
      <c r="AD36" s="441"/>
    </row>
    <row r="37" spans="1:30" ht="18">
      <c r="A37" s="398">
        <f>-128+36+44</f>
        <v>-48</v>
      </c>
      <c r="B37" s="67">
        <f>-295-8</f>
        <v>-303</v>
      </c>
      <c r="C37" s="67">
        <f t="shared" si="0"/>
        <v>-255</v>
      </c>
      <c r="D37" s="169">
        <v>-468</v>
      </c>
      <c r="E37" s="111"/>
      <c r="F37" s="133" t="s">
        <v>113</v>
      </c>
      <c r="G37" s="101"/>
      <c r="H37" s="68">
        <v>13628</v>
      </c>
      <c r="I37" s="67"/>
      <c r="J37" s="51">
        <v>10950</v>
      </c>
      <c r="K37" s="51"/>
      <c r="L37" s="51">
        <f>-47386+65939+2242-1619-9339-5263+198</f>
        <v>4772</v>
      </c>
      <c r="M37" s="186"/>
      <c r="N37" s="418"/>
      <c r="O37" s="398">
        <v>-1511</v>
      </c>
      <c r="P37" s="67">
        <f>-1504+B37</f>
        <v>-1807</v>
      </c>
      <c r="Q37" s="67">
        <f t="shared" si="1"/>
        <v>-296</v>
      </c>
      <c r="R37" s="111">
        <f t="shared" si="2"/>
        <v>-1807</v>
      </c>
      <c r="S37" s="143">
        <v>-1615</v>
      </c>
      <c r="U37" s="221">
        <f>-6638+2287+5097-2287+30</f>
        <v>-1511</v>
      </c>
      <c r="V37" s="71">
        <f>+S37-D37</f>
        <v>-1147</v>
      </c>
      <c r="X37" s="208">
        <v>-1412</v>
      </c>
      <c r="Y37"/>
      <c r="Z37" s="426"/>
      <c r="AA37" s="490"/>
      <c r="AB37" s="57"/>
      <c r="AD37" s="490"/>
    </row>
    <row r="38" spans="1:30" ht="18">
      <c r="A38" s="398"/>
      <c r="B38" s="51"/>
      <c r="C38" s="67"/>
      <c r="D38" s="205"/>
      <c r="E38" s="111"/>
      <c r="F38" s="133"/>
      <c r="G38" s="101"/>
      <c r="H38" s="68"/>
      <c r="I38" s="67"/>
      <c r="J38" s="51"/>
      <c r="K38" s="51"/>
      <c r="L38" s="51"/>
      <c r="M38" s="186"/>
      <c r="N38" s="418"/>
      <c r="O38" s="398"/>
      <c r="P38" s="67"/>
      <c r="Q38" s="67"/>
      <c r="R38" s="111">
        <f t="shared" si="2"/>
        <v>0</v>
      </c>
      <c r="S38" s="403"/>
      <c r="U38" s="221"/>
      <c r="V38" s="71"/>
      <c r="X38" s="208"/>
      <c r="Y38"/>
      <c r="Z38" s="429"/>
      <c r="AA38" s="490"/>
      <c r="AD38" s="490"/>
    </row>
    <row r="39" spans="1:26" ht="18">
      <c r="A39" s="398"/>
      <c r="B39" s="67"/>
      <c r="C39" s="67"/>
      <c r="D39" s="143"/>
      <c r="E39" s="111"/>
      <c r="F39" s="133"/>
      <c r="G39" s="101"/>
      <c r="H39" s="68"/>
      <c r="I39" s="67"/>
      <c r="J39" s="51"/>
      <c r="K39" s="51"/>
      <c r="L39" s="51"/>
      <c r="M39" s="186"/>
      <c r="N39" s="418"/>
      <c r="O39" s="398"/>
      <c r="P39" s="67"/>
      <c r="Q39" s="67"/>
      <c r="R39" s="111"/>
      <c r="S39" s="143"/>
      <c r="U39" s="221"/>
      <c r="V39" s="217"/>
      <c r="X39" s="67"/>
      <c r="Y39"/>
      <c r="Z39" s="401"/>
    </row>
    <row r="40" spans="1:29" s="16" customFormat="1" ht="18">
      <c r="A40" s="222">
        <f>SUM(A32:A39)</f>
        <v>-5847</v>
      </c>
      <c r="B40" s="72">
        <f>SUM(B32:B39)</f>
        <v>-7647</v>
      </c>
      <c r="C40" s="52">
        <f>SUM(C32:C39)</f>
        <v>-1800</v>
      </c>
      <c r="D40" s="144">
        <f>SUM(D32:D38)</f>
        <v>-6185</v>
      </c>
      <c r="E40" s="75"/>
      <c r="F40" s="135" t="s">
        <v>114</v>
      </c>
      <c r="G40" s="100"/>
      <c r="H40" s="76">
        <f>SUM(H32:H39)</f>
        <v>51645</v>
      </c>
      <c r="I40" s="72"/>
      <c r="J40" s="52">
        <f>SUM(J32:J39)</f>
        <v>53772</v>
      </c>
      <c r="K40" s="52"/>
      <c r="L40" s="72">
        <f>SUM(L32:L39)</f>
        <v>53783</v>
      </c>
      <c r="M40" s="188"/>
      <c r="N40" s="420"/>
      <c r="O40" s="408">
        <f>SUM(O32:O39)</f>
        <v>-71488</v>
      </c>
      <c r="P40" s="72">
        <f>SUM(P32:P39)</f>
        <v>-77894</v>
      </c>
      <c r="Q40" s="72">
        <f>SUM(Q32:Q39)</f>
        <v>-6406</v>
      </c>
      <c r="R40" s="75">
        <f>SUM(R32:R39)</f>
        <v>-77894</v>
      </c>
      <c r="S40" s="144">
        <f>SUM(S32:S38)</f>
        <v>-71078</v>
      </c>
      <c r="T40" s="71"/>
      <c r="U40" s="136">
        <f>SUM(U32:U39)</f>
        <v>-71488</v>
      </c>
      <c r="V40" s="217">
        <f>+S40-D40</f>
        <v>-64893</v>
      </c>
      <c r="X40" s="72">
        <f>SUM(X32:X39)</f>
        <v>-55282</v>
      </c>
      <c r="Y40"/>
      <c r="Z40" s="78">
        <f>SUM(Z32:Z39)</f>
        <v>0</v>
      </c>
      <c r="AB40" s="57"/>
      <c r="AC40" s="11"/>
    </row>
    <row r="41" spans="1:29" s="16" customFormat="1" ht="18">
      <c r="A41" s="407"/>
      <c r="B41" s="455"/>
      <c r="C41" s="456"/>
      <c r="D41" s="181"/>
      <c r="E41" s="203"/>
      <c r="F41" s="134"/>
      <c r="G41" s="170"/>
      <c r="H41" s="77"/>
      <c r="I41" s="69"/>
      <c r="J41" s="53"/>
      <c r="K41" s="53"/>
      <c r="L41" s="53"/>
      <c r="M41" s="189"/>
      <c r="N41" s="421"/>
      <c r="O41" s="407"/>
      <c r="P41" s="69"/>
      <c r="Q41" s="69"/>
      <c r="R41" s="203"/>
      <c r="S41" s="181"/>
      <c r="T41" s="71"/>
      <c r="U41" s="137"/>
      <c r="V41" s="217"/>
      <c r="X41" s="69"/>
      <c r="Z41" s="400"/>
      <c r="AC41" s="11"/>
    </row>
    <row r="42" spans="1:29" s="16" customFormat="1" ht="18" customHeight="1" hidden="1">
      <c r="A42" s="407"/>
      <c r="B42" s="69"/>
      <c r="C42" s="200"/>
      <c r="D42" s="181"/>
      <c r="E42" s="203"/>
      <c r="F42" s="134" t="s">
        <v>7</v>
      </c>
      <c r="G42" s="170"/>
      <c r="H42" s="77"/>
      <c r="I42" s="69"/>
      <c r="J42" s="53"/>
      <c r="K42" s="53"/>
      <c r="L42" s="53"/>
      <c r="M42" s="189"/>
      <c r="N42" s="421"/>
      <c r="O42" s="407"/>
      <c r="P42" s="67"/>
      <c r="Q42" s="67">
        <f>+L42-O42</f>
        <v>0</v>
      </c>
      <c r="R42" s="111">
        <f>+M42-P42</f>
        <v>0</v>
      </c>
      <c r="S42" s="181"/>
      <c r="T42" s="71"/>
      <c r="U42" s="137"/>
      <c r="V42" s="217">
        <f>+S42-D42</f>
        <v>0</v>
      </c>
      <c r="X42" s="69"/>
      <c r="Z42" s="400"/>
      <c r="AC42" s="11"/>
    </row>
    <row r="43" spans="1:29" s="16" customFormat="1" ht="18">
      <c r="A43" s="222">
        <f>+A28+A40</f>
        <v>-20133</v>
      </c>
      <c r="B43" s="72">
        <f>+B28+B40+B42</f>
        <v>-24140</v>
      </c>
      <c r="C43" s="52">
        <f>+C28+C40+C42</f>
        <v>-4007</v>
      </c>
      <c r="D43" s="52">
        <f>+D28+D40+D42</f>
        <v>-21483</v>
      </c>
      <c r="E43" s="75"/>
      <c r="F43" s="135" t="s">
        <v>115</v>
      </c>
      <c r="G43" s="100"/>
      <c r="H43" s="73">
        <f>+H28+H40+H42</f>
        <v>51645</v>
      </c>
      <c r="I43" s="72"/>
      <c r="J43" s="78">
        <f>+J28+J40+J42</f>
        <v>53772</v>
      </c>
      <c r="K43" s="78"/>
      <c r="L43" s="72">
        <f>+L28+L40+L42</f>
        <v>53783</v>
      </c>
      <c r="M43" s="188"/>
      <c r="N43" s="420"/>
      <c r="O43" s="408">
        <f>+O28+O40+O42</f>
        <v>-245710</v>
      </c>
      <c r="P43" s="72">
        <f>+P28+P40+P42</f>
        <v>-264441</v>
      </c>
      <c r="Q43" s="72">
        <f>+Q28+Q40</f>
        <v>-18731</v>
      </c>
      <c r="R43" s="75">
        <f>+R28+R40</f>
        <v>-77894</v>
      </c>
      <c r="S43" s="122">
        <f>+S28+S40</f>
        <v>-248311</v>
      </c>
      <c r="T43" s="71"/>
      <c r="U43" s="138">
        <f>+U28+U40+U42</f>
        <v>-245710</v>
      </c>
      <c r="V43" s="217">
        <f>+S43-D43</f>
        <v>-226828</v>
      </c>
      <c r="X43" s="72">
        <f>+X28+X40+X42</f>
        <v>-184041</v>
      </c>
      <c r="Z43" s="78">
        <f>+Z28+Z40+Z42</f>
        <v>-14699</v>
      </c>
      <c r="AB43" s="57"/>
      <c r="AC43" s="11"/>
    </row>
    <row r="44" spans="1:28" ht="18">
      <c r="A44" s="398"/>
      <c r="B44" s="67"/>
      <c r="C44" s="169"/>
      <c r="D44" s="181"/>
      <c r="E44" s="203"/>
      <c r="F44" s="133"/>
      <c r="G44" s="101"/>
      <c r="H44" s="68"/>
      <c r="I44" s="67"/>
      <c r="J44" s="51"/>
      <c r="K44" s="51"/>
      <c r="L44" s="51"/>
      <c r="M44" s="186"/>
      <c r="N44" s="418"/>
      <c r="O44" s="398"/>
      <c r="P44" s="67"/>
      <c r="Q44" s="67"/>
      <c r="R44" s="111"/>
      <c r="S44" s="181"/>
      <c r="U44" s="132"/>
      <c r="V44" s="217"/>
      <c r="X44" s="67"/>
      <c r="Z44" s="401"/>
      <c r="AB44" s="57"/>
    </row>
    <row r="45" spans="1:29" s="16" customFormat="1" ht="18">
      <c r="A45" s="408">
        <f>+A17+A43</f>
        <v>2183</v>
      </c>
      <c r="B45" s="78">
        <f>+B17+B43</f>
        <v>355</v>
      </c>
      <c r="C45" s="78">
        <f>+C17+C43</f>
        <v>-1828</v>
      </c>
      <c r="D45" s="72">
        <f>+D17+D43</f>
        <v>2695</v>
      </c>
      <c r="E45" s="75"/>
      <c r="F45" s="135" t="s">
        <v>116</v>
      </c>
      <c r="G45" s="100"/>
      <c r="H45" s="73">
        <f>+H17-H43</f>
        <v>136214</v>
      </c>
      <c r="I45" s="72"/>
      <c r="J45" s="72">
        <f>+J17-J43</f>
        <v>157379</v>
      </c>
      <c r="K45" s="72"/>
      <c r="L45" s="72">
        <f>+L17-L43</f>
        <v>157368</v>
      </c>
      <c r="M45" s="188"/>
      <c r="N45" s="420"/>
      <c r="O45" s="408">
        <f>+O17+O43</f>
        <v>16173</v>
      </c>
      <c r="P45" s="72">
        <f>+P17+P43</f>
        <v>8539</v>
      </c>
      <c r="Q45" s="72">
        <f>+Q17+Q43</f>
        <v>-7634</v>
      </c>
      <c r="R45" s="75">
        <f>N45-P45</f>
        <v>-8539</v>
      </c>
      <c r="S45" s="122">
        <f>+S17+S43</f>
        <v>14571</v>
      </c>
      <c r="T45" s="71"/>
      <c r="U45" s="136">
        <f>+U17+U43</f>
        <v>16173</v>
      </c>
      <c r="V45" s="217">
        <f>+S45-D45</f>
        <v>11876</v>
      </c>
      <c r="X45" s="72">
        <f>+X17+X43</f>
        <v>-184041</v>
      </c>
      <c r="Z45" s="408">
        <f>+Z17+Z43</f>
        <v>7197</v>
      </c>
      <c r="AB45" s="57"/>
      <c r="AC45" s="11"/>
    </row>
    <row r="46" spans="1:28" ht="18">
      <c r="A46" s="406"/>
      <c r="B46" s="58"/>
      <c r="C46" s="169"/>
      <c r="D46" s="143"/>
      <c r="E46" s="111"/>
      <c r="F46" s="133"/>
      <c r="G46" s="101"/>
      <c r="H46" s="68"/>
      <c r="I46" s="67"/>
      <c r="J46" s="51"/>
      <c r="K46" s="51"/>
      <c r="L46" s="51"/>
      <c r="M46" s="186"/>
      <c r="N46" s="418"/>
      <c r="O46" s="398"/>
      <c r="P46" s="67"/>
      <c r="Q46" s="67"/>
      <c r="R46" s="111"/>
      <c r="S46" s="181"/>
      <c r="U46" s="132"/>
      <c r="V46" s="217"/>
      <c r="X46" s="67"/>
      <c r="Z46" s="205"/>
      <c r="AB46" s="57"/>
    </row>
    <row r="47" spans="1:28" ht="18">
      <c r="A47" s="406">
        <v>-709</v>
      </c>
      <c r="B47" s="51">
        <v>-681</v>
      </c>
      <c r="C47" s="169">
        <f>+B47-A47</f>
        <v>28</v>
      </c>
      <c r="D47" s="51">
        <v>-670</v>
      </c>
      <c r="E47" s="111"/>
      <c r="F47" s="133" t="s">
        <v>117</v>
      </c>
      <c r="G47" s="101"/>
      <c r="H47" s="68">
        <v>8472</v>
      </c>
      <c r="I47" s="67"/>
      <c r="J47" s="51">
        <v>9351</v>
      </c>
      <c r="K47" s="51"/>
      <c r="L47" s="51">
        <v>9339</v>
      </c>
      <c r="M47" s="186"/>
      <c r="N47" s="418"/>
      <c r="O47" s="398">
        <v>-8509</v>
      </c>
      <c r="P47" s="67">
        <v>-8385</v>
      </c>
      <c r="Q47" s="67">
        <f>+P47-O47</f>
        <v>124</v>
      </c>
      <c r="R47" s="111">
        <f>+P47-N47</f>
        <v>-8385</v>
      </c>
      <c r="S47" s="143">
        <v>-8413</v>
      </c>
      <c r="U47" s="223">
        <v>-8509</v>
      </c>
      <c r="V47" s="217">
        <f>+S47-D47</f>
        <v>-7743</v>
      </c>
      <c r="X47" s="208">
        <v>-8809</v>
      </c>
      <c r="Z47" s="205">
        <v>-709</v>
      </c>
      <c r="AB47" s="57"/>
    </row>
    <row r="48" spans="1:29" ht="18">
      <c r="A48" s="406">
        <v>0</v>
      </c>
      <c r="B48" s="51">
        <v>36</v>
      </c>
      <c r="C48" s="169">
        <f>+B48-A48</f>
        <v>36</v>
      </c>
      <c r="D48" s="51">
        <v>0</v>
      </c>
      <c r="E48" s="111"/>
      <c r="F48" s="133" t="s">
        <v>273</v>
      </c>
      <c r="G48" s="101"/>
      <c r="H48" s="68"/>
      <c r="I48" s="67"/>
      <c r="J48" s="51"/>
      <c r="K48" s="51"/>
      <c r="L48" s="51"/>
      <c r="M48" s="186"/>
      <c r="N48" s="418"/>
      <c r="O48" s="398">
        <f>+Z48+A48</f>
        <v>0</v>
      </c>
      <c r="P48" s="67">
        <f>-166+36</f>
        <v>-130</v>
      </c>
      <c r="Q48" s="67">
        <f>+P48-O48</f>
        <v>-130</v>
      </c>
      <c r="R48" s="111"/>
      <c r="S48" s="143">
        <v>0</v>
      </c>
      <c r="U48" s="223">
        <v>0</v>
      </c>
      <c r="V48" s="217"/>
      <c r="X48" s="208"/>
      <c r="Z48" s="205">
        <v>0</v>
      </c>
      <c r="AB48" s="57"/>
      <c r="AC48" s="196"/>
    </row>
    <row r="49" spans="1:29" ht="18">
      <c r="A49" s="406">
        <v>-420</v>
      </c>
      <c r="B49" s="51">
        <v>-398</v>
      </c>
      <c r="C49" s="169">
        <f>+B49-A49</f>
        <v>22</v>
      </c>
      <c r="D49" s="51">
        <v>-449</v>
      </c>
      <c r="E49" s="111"/>
      <c r="F49" s="133" t="s">
        <v>118</v>
      </c>
      <c r="G49" s="101"/>
      <c r="H49" s="68">
        <v>5140</v>
      </c>
      <c r="I49" s="67"/>
      <c r="J49" s="51">
        <v>5263</v>
      </c>
      <c r="K49" s="51"/>
      <c r="L49" s="51">
        <v>5263</v>
      </c>
      <c r="M49" s="186"/>
      <c r="N49" s="418"/>
      <c r="O49" s="398">
        <v>-5040</v>
      </c>
      <c r="P49" s="67">
        <v>-5018</v>
      </c>
      <c r="Q49" s="67">
        <f>+P49-O49</f>
        <v>22</v>
      </c>
      <c r="R49" s="111">
        <f>+P49-N49</f>
        <v>-5018</v>
      </c>
      <c r="S49" s="143">
        <v>-5300</v>
      </c>
      <c r="U49" s="223">
        <v>-5040</v>
      </c>
      <c r="V49" s="217">
        <f>+S49-D49</f>
        <v>-4851</v>
      </c>
      <c r="X49" s="67">
        <v>-4652</v>
      </c>
      <c r="Z49" s="205">
        <v>-420</v>
      </c>
      <c r="AB49" s="57"/>
      <c r="AC49" s="196"/>
    </row>
    <row r="50" spans="1:28" ht="18">
      <c r="A50" s="406">
        <v>1</v>
      </c>
      <c r="B50" s="51">
        <v>3</v>
      </c>
      <c r="C50" s="51">
        <f>+B50-A50</f>
        <v>2</v>
      </c>
      <c r="D50" s="51">
        <v>1</v>
      </c>
      <c r="E50" s="111"/>
      <c r="F50" s="133" t="s">
        <v>119</v>
      </c>
      <c r="G50" s="101"/>
      <c r="H50" s="68">
        <v>-150</v>
      </c>
      <c r="I50" s="67"/>
      <c r="J50" s="51">
        <v>-198</v>
      </c>
      <c r="K50" s="51"/>
      <c r="L50" s="51">
        <v>-198</v>
      </c>
      <c r="M50" s="186"/>
      <c r="N50" s="418"/>
      <c r="O50" s="67">
        <v>12</v>
      </c>
      <c r="P50" s="67">
        <v>20</v>
      </c>
      <c r="Q50" s="67">
        <f>+P50-O50</f>
        <v>8</v>
      </c>
      <c r="R50" s="111">
        <f>+P50-N50</f>
        <v>20</v>
      </c>
      <c r="S50" s="143">
        <v>14</v>
      </c>
      <c r="U50" s="223">
        <v>12</v>
      </c>
      <c r="V50" s="217">
        <f>+S50-D50</f>
        <v>13</v>
      </c>
      <c r="X50" s="67">
        <v>345</v>
      </c>
      <c r="Z50" s="205">
        <v>1</v>
      </c>
      <c r="AB50" s="57"/>
    </row>
    <row r="51" spans="1:28" ht="18">
      <c r="A51" s="406">
        <v>-47</v>
      </c>
      <c r="B51" s="51">
        <v>0</v>
      </c>
      <c r="C51" s="51">
        <f>+B51-A51</f>
        <v>47</v>
      </c>
      <c r="D51" s="51">
        <v>-6</v>
      </c>
      <c r="E51" s="111"/>
      <c r="F51" s="133" t="s">
        <v>128</v>
      </c>
      <c r="G51" s="101"/>
      <c r="H51" s="68"/>
      <c r="I51" s="67"/>
      <c r="J51" s="51"/>
      <c r="K51" s="51"/>
      <c r="L51" s="51"/>
      <c r="M51" s="186"/>
      <c r="N51" s="418"/>
      <c r="O51" s="67">
        <v>-69</v>
      </c>
      <c r="P51" s="67">
        <v>0</v>
      </c>
      <c r="Q51" s="67">
        <f>+P51-O51</f>
        <v>69</v>
      </c>
      <c r="R51" s="111">
        <f>+P51-N51</f>
        <v>0</v>
      </c>
      <c r="S51" s="143">
        <v>-160</v>
      </c>
      <c r="U51" s="223">
        <v>-69</v>
      </c>
      <c r="V51" s="217">
        <f>+S51-D51</f>
        <v>-154</v>
      </c>
      <c r="X51" s="215">
        <f>-522-48</f>
        <v>-570</v>
      </c>
      <c r="Z51" s="205">
        <v>0</v>
      </c>
      <c r="AB51" s="57"/>
    </row>
    <row r="52" spans="1:28" ht="18">
      <c r="A52" s="416"/>
      <c r="B52" s="220"/>
      <c r="C52" s="220"/>
      <c r="D52" s="402"/>
      <c r="E52" s="111"/>
      <c r="F52" s="133"/>
      <c r="G52" s="101"/>
      <c r="H52" s="68"/>
      <c r="I52" s="67"/>
      <c r="J52" s="51"/>
      <c r="K52" s="51"/>
      <c r="L52" s="51"/>
      <c r="M52" s="186"/>
      <c r="N52" s="418"/>
      <c r="O52" s="205"/>
      <c r="P52" s="207"/>
      <c r="Q52" s="207"/>
      <c r="R52" s="415"/>
      <c r="S52" s="423"/>
      <c r="U52" s="223"/>
      <c r="V52" s="217"/>
      <c r="X52" s="215"/>
      <c r="Z52" s="205"/>
      <c r="AB52" s="57"/>
    </row>
    <row r="53" spans="1:28" ht="18">
      <c r="A53" s="408">
        <f>SUM(A47:A52)</f>
        <v>-1175</v>
      </c>
      <c r="B53" s="224">
        <f>SUM(B47:B51)</f>
        <v>-1040</v>
      </c>
      <c r="C53" s="78">
        <f>SUM(C47:C51)</f>
        <v>135</v>
      </c>
      <c r="D53" s="78">
        <f>SUM(D47:D51)</f>
        <v>-1124</v>
      </c>
      <c r="E53" s="75"/>
      <c r="F53" s="135" t="s">
        <v>151</v>
      </c>
      <c r="G53" s="100"/>
      <c r="H53" s="73">
        <f>SUM(H47:H51)</f>
        <v>13462</v>
      </c>
      <c r="I53" s="72"/>
      <c r="J53" s="72">
        <f>SUM(J47:J51)</f>
        <v>14416</v>
      </c>
      <c r="K53" s="72"/>
      <c r="L53" s="72">
        <f>SUM(L47:L51)</f>
        <v>14404</v>
      </c>
      <c r="M53" s="188"/>
      <c r="N53" s="420"/>
      <c r="O53" s="224">
        <f>SUM(O47:O51)</f>
        <v>-13606</v>
      </c>
      <c r="P53" s="224">
        <f>SUM(P47:P51)</f>
        <v>-13513</v>
      </c>
      <c r="Q53" s="224">
        <f>SUM(Q47:Q51)</f>
        <v>93</v>
      </c>
      <c r="R53" s="224">
        <f>SUM(R47:R51)</f>
        <v>-13383</v>
      </c>
      <c r="S53" s="404">
        <f>SUM(S47:S51)</f>
        <v>-13859</v>
      </c>
      <c r="T53" s="75"/>
      <c r="U53" s="135">
        <f>SUM(U47:U51)</f>
        <v>-13606</v>
      </c>
      <c r="V53" s="218">
        <f>+S53-D53</f>
        <v>-12735</v>
      </c>
      <c r="X53" s="72">
        <f>+X47+X49+X50+X51</f>
        <v>-13686</v>
      </c>
      <c r="Z53" s="224">
        <f>SUM(Z47:Z51)</f>
        <v>-1128</v>
      </c>
      <c r="AB53" s="57"/>
    </row>
    <row r="54" spans="1:28" ht="18">
      <c r="A54" s="398"/>
      <c r="B54" s="424"/>
      <c r="C54" s="169"/>
      <c r="D54" s="143"/>
      <c r="E54" s="111"/>
      <c r="F54" s="133"/>
      <c r="G54" s="101"/>
      <c r="H54" s="68"/>
      <c r="I54" s="67"/>
      <c r="J54" s="51"/>
      <c r="K54" s="51"/>
      <c r="L54" s="51"/>
      <c r="M54" s="186"/>
      <c r="N54" s="418"/>
      <c r="O54" s="425"/>
      <c r="P54" s="67"/>
      <c r="Q54" s="67"/>
      <c r="R54" s="111"/>
      <c r="S54" s="143"/>
      <c r="U54" s="132"/>
      <c r="V54" s="217"/>
      <c r="X54" s="67"/>
      <c r="Z54" s="425"/>
      <c r="AB54" s="57"/>
    </row>
    <row r="55" spans="1:28" ht="18.75" thickBot="1">
      <c r="A55" s="417">
        <f>+A45+A53</f>
        <v>1008</v>
      </c>
      <c r="B55" s="409">
        <f>+B45+B53</f>
        <v>-685</v>
      </c>
      <c r="C55" s="79">
        <f>+C45+C53</f>
        <v>-1693</v>
      </c>
      <c r="D55" s="79">
        <f>+D45+D53</f>
        <v>1571</v>
      </c>
      <c r="E55" s="204"/>
      <c r="F55" s="139" t="s">
        <v>360</v>
      </c>
      <c r="G55" s="102"/>
      <c r="H55" s="80">
        <f>+H17-H43-H53</f>
        <v>122752</v>
      </c>
      <c r="I55" s="79"/>
      <c r="J55" s="79">
        <f>+J17-J43-J53</f>
        <v>142963</v>
      </c>
      <c r="K55" s="79"/>
      <c r="L55" s="79">
        <f>+L17-L43-L53</f>
        <v>142964</v>
      </c>
      <c r="M55" s="190"/>
      <c r="N55" s="422"/>
      <c r="O55" s="409">
        <f>+O45+O53</f>
        <v>2567</v>
      </c>
      <c r="P55" s="79">
        <f>+P45+P53</f>
        <v>-4974</v>
      </c>
      <c r="Q55" s="79">
        <f>+Q45+Q53</f>
        <v>-7541</v>
      </c>
      <c r="R55" s="204">
        <f>+N55-P55</f>
        <v>4974</v>
      </c>
      <c r="S55" s="127">
        <f>+S45+S53</f>
        <v>712</v>
      </c>
      <c r="U55" s="139">
        <f>+U45+U53</f>
        <v>2567</v>
      </c>
      <c r="V55" s="219">
        <f>+S55-D55</f>
        <v>-859</v>
      </c>
      <c r="X55" s="79">
        <f>+X45+X53</f>
        <v>-197727</v>
      </c>
      <c r="Z55" s="409">
        <f>+Z45+Z53</f>
        <v>6069</v>
      </c>
      <c r="AB55" s="57"/>
    </row>
    <row r="56" spans="1:21" ht="18.75" thickTop="1">
      <c r="A56" s="501"/>
      <c r="B56" s="502"/>
      <c r="C56" s="502"/>
      <c r="D56" s="503"/>
      <c r="F56" s="504"/>
      <c r="O56" s="505"/>
      <c r="P56" s="74"/>
      <c r="Q56" s="74"/>
      <c r="R56" s="506"/>
      <c r="S56" s="507"/>
      <c r="T56" s="133"/>
      <c r="U56" s="504"/>
    </row>
    <row r="57" spans="1:21" ht="18">
      <c r="A57" s="222">
        <v>0</v>
      </c>
      <c r="B57" s="508">
        <v>1025</v>
      </c>
      <c r="C57" s="78">
        <f>B57-A57</f>
        <v>1025</v>
      </c>
      <c r="D57" s="509">
        <v>0</v>
      </c>
      <c r="F57" s="135" t="s">
        <v>359</v>
      </c>
      <c r="O57" s="510">
        <v>0</v>
      </c>
      <c r="P57" s="72">
        <v>5000</v>
      </c>
      <c r="Q57" s="224">
        <f>P57-O57</f>
        <v>5000</v>
      </c>
      <c r="R57" s="75"/>
      <c r="S57" s="218">
        <v>0</v>
      </c>
      <c r="T57" s="133"/>
      <c r="U57" s="135">
        <v>0</v>
      </c>
    </row>
    <row r="58" spans="1:21" ht="18.75" thickBot="1">
      <c r="A58" s="511"/>
      <c r="B58" s="512"/>
      <c r="C58" s="512"/>
      <c r="D58" s="513"/>
      <c r="F58" s="514"/>
      <c r="J58" s="57"/>
      <c r="K58" s="57"/>
      <c r="L58" s="57"/>
      <c r="O58" s="475"/>
      <c r="P58" s="58"/>
      <c r="Q58" s="58"/>
      <c r="R58" s="206"/>
      <c r="S58" s="515"/>
      <c r="T58" s="133"/>
      <c r="U58" s="514"/>
    </row>
    <row r="59" spans="1:21" ht="19.5" thickBot="1" thickTop="1">
      <c r="A59" s="516">
        <f>A55+A57</f>
        <v>1008</v>
      </c>
      <c r="B59" s="517">
        <f>B55+B57</f>
        <v>340</v>
      </c>
      <c r="C59" s="517">
        <f>C55+C57</f>
        <v>-668</v>
      </c>
      <c r="D59" s="517">
        <f>D55+D57</f>
        <v>1571</v>
      </c>
      <c r="E59" s="518"/>
      <c r="F59" s="519" t="s">
        <v>2</v>
      </c>
      <c r="G59" s="518"/>
      <c r="H59" s="518"/>
      <c r="I59" s="518"/>
      <c r="J59" s="520"/>
      <c r="K59" s="520"/>
      <c r="L59" s="520"/>
      <c r="M59" s="518"/>
      <c r="N59" s="518"/>
      <c r="O59" s="521">
        <f>O55+O57</f>
        <v>2567</v>
      </c>
      <c r="P59" s="521">
        <f>P55+P57</f>
        <v>26</v>
      </c>
      <c r="Q59" s="521">
        <f>Q55+Q57</f>
        <v>-2541</v>
      </c>
      <c r="R59" s="521">
        <f>R55+R57</f>
        <v>4974</v>
      </c>
      <c r="S59" s="521">
        <f>S55+S57</f>
        <v>712</v>
      </c>
      <c r="T59" s="133"/>
      <c r="U59" s="519">
        <f>U55+U57</f>
        <v>2567</v>
      </c>
    </row>
    <row r="60" ht="18.75" thickTop="1"/>
  </sheetData>
  <mergeCells count="5">
    <mergeCell ref="A2:V2"/>
    <mergeCell ref="A3:V3"/>
    <mergeCell ref="A5:D5"/>
    <mergeCell ref="N5:S5"/>
    <mergeCell ref="U5:U6"/>
  </mergeCells>
  <printOptions horizontalCentered="1"/>
  <pageMargins left="0.15748031496062992" right="0.15748031496062992" top="0.5905511811023623" bottom="0.5905511811023623" header="0.11811023622047245" footer="0.11811023622047245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O62"/>
  <sheetViews>
    <sheetView zoomScale="75" zoomScaleNormal="75" zoomScaleSheetLayoutView="75" workbookViewId="0" topLeftCell="A1">
      <pane ySplit="7" topLeftCell="BM8" activePane="bottomLeft" state="frozen"/>
      <selection pane="topLeft" activeCell="A20" sqref="A20"/>
      <selection pane="bottomLeft" activeCell="AM18" sqref="AM18"/>
    </sheetView>
  </sheetViews>
  <sheetFormatPr defaultColWidth="9.140625" defaultRowHeight="12.75"/>
  <cols>
    <col min="1" max="3" width="11.421875" style="214" customWidth="1"/>
    <col min="4" max="4" width="11.421875" style="399" customWidth="1"/>
    <col min="5" max="5" width="2.00390625" style="399" customWidth="1"/>
    <col min="6" max="6" width="36.7109375" style="399" customWidth="1"/>
    <col min="7" max="7" width="2.7109375" style="399" customWidth="1"/>
    <col min="8" max="11" width="11.421875" style="399" customWidth="1"/>
    <col min="12" max="12" width="2.00390625" style="399" customWidth="1"/>
    <col min="13" max="13" width="11.421875" style="214" customWidth="1"/>
    <col min="14" max="14" width="8.57421875" style="196" hidden="1" customWidth="1"/>
    <col min="15" max="15" width="9.140625" style="196" hidden="1" customWidth="1"/>
    <col min="16" max="17" width="11.421875" style="399" hidden="1" customWidth="1"/>
    <col min="18" max="34" width="9.140625" style="196" hidden="1" customWidth="1"/>
    <col min="35" max="35" width="9.140625" style="196" customWidth="1"/>
    <col min="36" max="36" width="25.7109375" style="196" customWidth="1"/>
    <col min="37" max="37" width="9.57421875" style="196" bestFit="1" customWidth="1"/>
    <col min="38" max="40" width="9.140625" style="196" customWidth="1"/>
    <col min="41" max="41" width="9.57421875" style="196" bestFit="1" customWidth="1"/>
    <col min="42" max="16384" width="9.140625" style="196" customWidth="1"/>
  </cols>
  <sheetData>
    <row r="1" ht="23.25">
      <c r="K1" s="431" t="s">
        <v>290</v>
      </c>
    </row>
    <row r="2" spans="1:13" s="433" customFormat="1" ht="23.25">
      <c r="A2" s="432"/>
      <c r="B2" s="432"/>
      <c r="C2" s="432"/>
      <c r="D2" s="548" t="s">
        <v>102</v>
      </c>
      <c r="E2" s="548"/>
      <c r="F2" s="549"/>
      <c r="G2" s="549"/>
      <c r="H2" s="549"/>
      <c r="I2" s="549"/>
      <c r="J2" s="549"/>
      <c r="K2" s="549"/>
      <c r="L2" s="549"/>
      <c r="M2" s="432"/>
    </row>
    <row r="3" spans="1:14" s="433" customFormat="1" ht="23.25">
      <c r="A3" s="432"/>
      <c r="B3" s="432"/>
      <c r="C3" s="432"/>
      <c r="D3" s="548" t="s">
        <v>362</v>
      </c>
      <c r="E3" s="548"/>
      <c r="F3" s="549"/>
      <c r="G3" s="549"/>
      <c r="H3" s="549"/>
      <c r="I3" s="549"/>
      <c r="J3" s="549"/>
      <c r="K3" s="549"/>
      <c r="L3" s="549"/>
      <c r="M3" s="432"/>
      <c r="N3" s="433">
        <f>7481/12*10</f>
        <v>6234.166666666666</v>
      </c>
    </row>
    <row r="4" ht="18.75" thickBot="1">
      <c r="M4" s="399"/>
    </row>
    <row r="5" spans="1:17" ht="18.75" thickTop="1">
      <c r="A5" s="544" t="s">
        <v>292</v>
      </c>
      <c r="B5" s="550"/>
      <c r="C5" s="550"/>
      <c r="D5" s="551"/>
      <c r="E5" s="434"/>
      <c r="F5" s="435"/>
      <c r="G5" s="434"/>
      <c r="H5" s="552" t="s">
        <v>153</v>
      </c>
      <c r="I5" s="553"/>
      <c r="J5" s="553"/>
      <c r="K5" s="554"/>
      <c r="M5" s="436" t="s">
        <v>293</v>
      </c>
      <c r="O5" s="196" t="s">
        <v>153</v>
      </c>
      <c r="P5" s="196"/>
      <c r="Q5" s="196"/>
    </row>
    <row r="6" spans="1:36" ht="18">
      <c r="A6" s="525" t="s">
        <v>202</v>
      </c>
      <c r="B6" s="526" t="s">
        <v>96</v>
      </c>
      <c r="C6" s="437" t="s">
        <v>94</v>
      </c>
      <c r="D6" s="526" t="s">
        <v>201</v>
      </c>
      <c r="E6" s="528"/>
      <c r="F6" s="400"/>
      <c r="G6" s="528"/>
      <c r="H6" s="437" t="s">
        <v>202</v>
      </c>
      <c r="I6" s="526" t="s">
        <v>96</v>
      </c>
      <c r="J6" s="437" t="s">
        <v>5</v>
      </c>
      <c r="K6" s="438" t="s">
        <v>201</v>
      </c>
      <c r="M6" s="129" t="s">
        <v>202</v>
      </c>
      <c r="O6" s="196" t="s">
        <v>202</v>
      </c>
      <c r="P6" s="437" t="s">
        <v>96</v>
      </c>
      <c r="Q6" s="438" t="s">
        <v>201</v>
      </c>
      <c r="AJ6" s="396"/>
    </row>
    <row r="7" spans="1:36" ht="18">
      <c r="A7" s="474" t="s">
        <v>0</v>
      </c>
      <c r="B7" s="65" t="s">
        <v>0</v>
      </c>
      <c r="C7" s="65" t="s">
        <v>0</v>
      </c>
      <c r="D7" s="65" t="s">
        <v>0</v>
      </c>
      <c r="E7" s="65"/>
      <c r="F7" s="498"/>
      <c r="G7" s="439"/>
      <c r="H7" s="523" t="s">
        <v>0</v>
      </c>
      <c r="I7" s="524" t="s">
        <v>0</v>
      </c>
      <c r="J7" s="437" t="s">
        <v>0</v>
      </c>
      <c r="K7" s="440" t="s">
        <v>0</v>
      </c>
      <c r="M7" s="225" t="s">
        <v>0</v>
      </c>
      <c r="O7" s="196" t="s">
        <v>0</v>
      </c>
      <c r="P7" s="65" t="s">
        <v>0</v>
      </c>
      <c r="Q7" s="440" t="s">
        <v>0</v>
      </c>
      <c r="AJ7" s="396"/>
    </row>
    <row r="8" spans="1:36" ht="18">
      <c r="A8" s="398">
        <v>10028</v>
      </c>
      <c r="B8" s="401">
        <f>11107-'Appendix A'!B57</f>
        <v>10082</v>
      </c>
      <c r="C8" s="401">
        <f aca="true" t="shared" si="0" ref="C8:C20">+B8-A8</f>
        <v>54</v>
      </c>
      <c r="D8" s="401">
        <v>10757</v>
      </c>
      <c r="E8" s="401"/>
      <c r="F8" s="401" t="s">
        <v>294</v>
      </c>
      <c r="G8" s="205"/>
      <c r="H8" s="488">
        <v>116845</v>
      </c>
      <c r="I8" s="401">
        <f>126449-'Appendix A'!P57</f>
        <v>121449</v>
      </c>
      <c r="J8" s="205">
        <f>I8-H8</f>
        <v>4604</v>
      </c>
      <c r="K8" s="472">
        <v>115186</v>
      </c>
      <c r="M8" s="223">
        <v>116845</v>
      </c>
      <c r="N8" s="441"/>
      <c r="O8" s="196">
        <v>81532.5</v>
      </c>
      <c r="P8" s="401">
        <v>83468</v>
      </c>
      <c r="Q8" s="442" t="e">
        <f>#REF!+K8</f>
        <v>#REF!</v>
      </c>
      <c r="V8" s="401">
        <v>92310</v>
      </c>
      <c r="W8" s="196">
        <v>8364</v>
      </c>
      <c r="X8" s="401" t="s">
        <v>294</v>
      </c>
      <c r="Y8" s="401"/>
      <c r="Z8" s="401">
        <v>91501</v>
      </c>
      <c r="AA8" s="401">
        <v>93881</v>
      </c>
      <c r="AC8" s="442">
        <v>85517</v>
      </c>
      <c r="AJ8" s="394"/>
    </row>
    <row r="9" spans="1:36" ht="18">
      <c r="A9" s="398">
        <v>6871</v>
      </c>
      <c r="B9" s="401">
        <v>8500</v>
      </c>
      <c r="C9" s="401">
        <f t="shared" si="0"/>
        <v>1629</v>
      </c>
      <c r="D9" s="401">
        <v>6552</v>
      </c>
      <c r="E9" s="401"/>
      <c r="F9" s="401" t="s">
        <v>295</v>
      </c>
      <c r="G9" s="205"/>
      <c r="H9" s="488">
        <v>81500</v>
      </c>
      <c r="I9" s="401">
        <v>87756</v>
      </c>
      <c r="J9" s="205">
        <f aca="true" t="shared" si="1" ref="J9:J30">I9-H9</f>
        <v>6256</v>
      </c>
      <c r="K9" s="403">
        <v>80527</v>
      </c>
      <c r="M9" s="223">
        <v>81500</v>
      </c>
      <c r="N9" s="441"/>
      <c r="O9" s="196">
        <v>57334.16666666667</v>
      </c>
      <c r="P9" s="401">
        <v>58177</v>
      </c>
      <c r="Q9" s="442" t="e">
        <f>#REF!+K9</f>
        <v>#REF!</v>
      </c>
      <c r="V9" s="401">
        <v>63922</v>
      </c>
      <c r="W9" s="196">
        <v>5945</v>
      </c>
      <c r="X9" s="401" t="s">
        <v>295</v>
      </c>
      <c r="Y9" s="401"/>
      <c r="Z9" s="401">
        <v>62379</v>
      </c>
      <c r="AA9" s="401">
        <v>65041</v>
      </c>
      <c r="AC9" s="442">
        <v>59096</v>
      </c>
      <c r="AJ9" s="394"/>
    </row>
    <row r="10" spans="1:41" ht="18">
      <c r="A10" s="398">
        <v>91</v>
      </c>
      <c r="B10" s="401">
        <v>99</v>
      </c>
      <c r="C10" s="401">
        <f t="shared" si="0"/>
        <v>8</v>
      </c>
      <c r="D10" s="401">
        <v>108</v>
      </c>
      <c r="E10" s="401"/>
      <c r="F10" s="401" t="s">
        <v>341</v>
      </c>
      <c r="G10" s="205"/>
      <c r="H10" s="488">
        <v>1035</v>
      </c>
      <c r="I10" s="401">
        <v>1245</v>
      </c>
      <c r="J10" s="205">
        <f t="shared" si="1"/>
        <v>210</v>
      </c>
      <c r="K10" s="403">
        <v>1061</v>
      </c>
      <c r="M10" s="223">
        <v>1035</v>
      </c>
      <c r="N10" s="441"/>
      <c r="O10" s="196">
        <v>512.5</v>
      </c>
      <c r="P10" s="401">
        <v>628</v>
      </c>
      <c r="Q10" s="442" t="e">
        <f>#REF!+K10</f>
        <v>#REF!</v>
      </c>
      <c r="V10" s="401">
        <v>679</v>
      </c>
      <c r="W10" s="196">
        <v>89</v>
      </c>
      <c r="X10" s="401" t="s">
        <v>296</v>
      </c>
      <c r="Y10" s="401"/>
      <c r="Z10" s="401">
        <v>604</v>
      </c>
      <c r="AA10" s="401">
        <v>793</v>
      </c>
      <c r="AC10" s="442">
        <v>704</v>
      </c>
      <c r="AJ10" s="394"/>
      <c r="AK10" s="214"/>
      <c r="AN10" s="527"/>
      <c r="AO10" s="214"/>
    </row>
    <row r="11" spans="1:41" ht="18">
      <c r="A11" s="398">
        <v>7</v>
      </c>
      <c r="B11" s="401">
        <v>25</v>
      </c>
      <c r="C11" s="401">
        <f t="shared" si="0"/>
        <v>18</v>
      </c>
      <c r="D11" s="401">
        <v>12</v>
      </c>
      <c r="E11" s="401"/>
      <c r="F11" s="401" t="s">
        <v>342</v>
      </c>
      <c r="G11" s="205"/>
      <c r="H11" s="488">
        <v>83</v>
      </c>
      <c r="I11" s="401">
        <v>113</v>
      </c>
      <c r="J11" s="205">
        <f t="shared" si="1"/>
        <v>30</v>
      </c>
      <c r="K11" s="403">
        <v>50</v>
      </c>
      <c r="M11" s="223">
        <v>83</v>
      </c>
      <c r="N11" s="441"/>
      <c r="O11" s="196">
        <v>55</v>
      </c>
      <c r="P11" s="401">
        <v>56</v>
      </c>
      <c r="Q11" s="442" t="e">
        <f>#REF!+K11</f>
        <v>#REF!</v>
      </c>
      <c r="V11" s="401">
        <v>61</v>
      </c>
      <c r="W11" s="196">
        <v>16</v>
      </c>
      <c r="X11" s="401" t="s">
        <v>297</v>
      </c>
      <c r="Y11" s="401"/>
      <c r="Z11" s="401">
        <v>95</v>
      </c>
      <c r="AA11" s="401">
        <v>139</v>
      </c>
      <c r="AC11" s="442">
        <v>123</v>
      </c>
      <c r="AJ11" s="394"/>
      <c r="AK11" s="214"/>
      <c r="AN11" s="527"/>
      <c r="AO11" s="214"/>
    </row>
    <row r="12" spans="1:41" ht="18">
      <c r="A12" s="398">
        <v>6</v>
      </c>
      <c r="B12" s="401">
        <v>26</v>
      </c>
      <c r="C12" s="401">
        <f t="shared" si="0"/>
        <v>20</v>
      </c>
      <c r="D12" s="401">
        <v>26</v>
      </c>
      <c r="E12" s="401"/>
      <c r="F12" s="401" t="s">
        <v>343</v>
      </c>
      <c r="G12" s="205"/>
      <c r="H12" s="488">
        <v>69</v>
      </c>
      <c r="I12" s="401">
        <v>75</v>
      </c>
      <c r="J12" s="205">
        <f t="shared" si="1"/>
        <v>6</v>
      </c>
      <c r="K12" s="403">
        <v>71</v>
      </c>
      <c r="M12" s="223">
        <v>69</v>
      </c>
      <c r="N12" s="441"/>
      <c r="O12" s="196">
        <v>42.5</v>
      </c>
      <c r="P12" s="401">
        <v>85</v>
      </c>
      <c r="Q12" s="442" t="e">
        <f>#REF!+K12</f>
        <v>#REF!</v>
      </c>
      <c r="V12" s="401">
        <v>92</v>
      </c>
      <c r="W12" s="196">
        <v>102</v>
      </c>
      <c r="X12" s="401" t="s">
        <v>298</v>
      </c>
      <c r="Y12" s="401"/>
      <c r="Z12" s="401">
        <v>165</v>
      </c>
      <c r="AA12" s="401">
        <v>291</v>
      </c>
      <c r="AC12" s="442">
        <v>0</v>
      </c>
      <c r="AJ12" s="394"/>
      <c r="AK12" s="214"/>
      <c r="AN12" s="527"/>
      <c r="AO12" s="214"/>
    </row>
    <row r="13" spans="1:41" ht="18">
      <c r="A13" s="398">
        <v>25</v>
      </c>
      <c r="B13" s="401">
        <v>7</v>
      </c>
      <c r="C13" s="401">
        <f t="shared" si="0"/>
        <v>-18</v>
      </c>
      <c r="D13" s="401">
        <v>33</v>
      </c>
      <c r="E13" s="401"/>
      <c r="F13" s="401" t="s">
        <v>344</v>
      </c>
      <c r="G13" s="205"/>
      <c r="H13" s="488">
        <v>282</v>
      </c>
      <c r="I13" s="401">
        <v>405</v>
      </c>
      <c r="J13" s="205">
        <f t="shared" si="1"/>
        <v>123</v>
      </c>
      <c r="K13" s="403">
        <v>310</v>
      </c>
      <c r="M13" s="223">
        <v>282</v>
      </c>
      <c r="N13" s="441"/>
      <c r="O13" s="196">
        <v>236.66666666666669</v>
      </c>
      <c r="P13" s="401">
        <v>237</v>
      </c>
      <c r="Q13" s="442" t="e">
        <f>#REF!+K13</f>
        <v>#REF!</v>
      </c>
      <c r="V13" s="401">
        <v>261</v>
      </c>
      <c r="W13" s="196">
        <v>-110</v>
      </c>
      <c r="X13" s="401" t="s">
        <v>299</v>
      </c>
      <c r="Y13" s="401"/>
      <c r="Z13" s="401">
        <v>92</v>
      </c>
      <c r="AA13" s="401">
        <v>82</v>
      </c>
      <c r="AC13" s="442">
        <v>189</v>
      </c>
      <c r="AJ13" s="394"/>
      <c r="AK13" s="214"/>
      <c r="AN13" s="527"/>
      <c r="AO13" s="214"/>
    </row>
    <row r="14" spans="1:41" ht="18">
      <c r="A14" s="398">
        <v>0</v>
      </c>
      <c r="B14" s="401">
        <v>4</v>
      </c>
      <c r="C14" s="401">
        <f t="shared" si="0"/>
        <v>4</v>
      </c>
      <c r="D14" s="401">
        <v>-2</v>
      </c>
      <c r="E14" s="401"/>
      <c r="F14" s="401" t="s">
        <v>345</v>
      </c>
      <c r="G14" s="205"/>
      <c r="H14" s="488">
        <v>0</v>
      </c>
      <c r="I14" s="401">
        <v>121</v>
      </c>
      <c r="J14" s="205">
        <f t="shared" si="1"/>
        <v>121</v>
      </c>
      <c r="K14" s="403">
        <v>103</v>
      </c>
      <c r="M14" s="223">
        <v>0</v>
      </c>
      <c r="N14" s="441"/>
      <c r="O14" s="196">
        <v>0</v>
      </c>
      <c r="P14" s="401">
        <v>132</v>
      </c>
      <c r="Q14" s="442" t="e">
        <f>#REF!+K14</f>
        <v>#REF!</v>
      </c>
      <c r="V14" s="401">
        <v>147</v>
      </c>
      <c r="W14" s="196">
        <v>14</v>
      </c>
      <c r="X14" s="401" t="s">
        <v>300</v>
      </c>
      <c r="Y14" s="401"/>
      <c r="Z14" s="401">
        <v>179</v>
      </c>
      <c r="AA14" s="401">
        <v>208</v>
      </c>
      <c r="AC14" s="442">
        <v>192</v>
      </c>
      <c r="AJ14" s="394"/>
      <c r="AK14" s="214"/>
      <c r="AN14" s="527"/>
      <c r="AO14" s="214"/>
    </row>
    <row r="15" spans="1:41" ht="18">
      <c r="A15" s="398">
        <v>20</v>
      </c>
      <c r="B15" s="401">
        <v>27</v>
      </c>
      <c r="C15" s="401">
        <f t="shared" si="0"/>
        <v>7</v>
      </c>
      <c r="D15" s="401">
        <v>46</v>
      </c>
      <c r="E15" s="401"/>
      <c r="F15" s="401" t="s">
        <v>346</v>
      </c>
      <c r="G15" s="205"/>
      <c r="H15" s="488">
        <v>233</v>
      </c>
      <c r="I15" s="401">
        <v>311</v>
      </c>
      <c r="J15" s="205">
        <f t="shared" si="1"/>
        <v>78</v>
      </c>
      <c r="K15" s="403">
        <v>230</v>
      </c>
      <c r="M15" s="223">
        <v>233</v>
      </c>
      <c r="N15" s="441"/>
      <c r="O15" s="196">
        <v>180.83333333333331</v>
      </c>
      <c r="P15" s="401">
        <v>180</v>
      </c>
      <c r="Q15" s="442" t="e">
        <f>#REF!+K15</f>
        <v>#REF!</v>
      </c>
      <c r="V15" s="401">
        <v>198</v>
      </c>
      <c r="W15" s="196">
        <v>25</v>
      </c>
      <c r="X15" s="401" t="s">
        <v>301</v>
      </c>
      <c r="Y15" s="401"/>
      <c r="Z15" s="401">
        <v>198</v>
      </c>
      <c r="AA15" s="401">
        <v>192</v>
      </c>
      <c r="AC15" s="442">
        <v>194</v>
      </c>
      <c r="AJ15" s="394"/>
      <c r="AK15" s="214"/>
      <c r="AN15" s="527"/>
      <c r="AO15" s="214"/>
    </row>
    <row r="16" spans="1:41" ht="18">
      <c r="A16" s="398">
        <v>19</v>
      </c>
      <c r="B16" s="401">
        <v>39</v>
      </c>
      <c r="C16" s="401">
        <f t="shared" si="0"/>
        <v>20</v>
      </c>
      <c r="D16" s="401">
        <v>36</v>
      </c>
      <c r="E16" s="401"/>
      <c r="F16" s="401" t="s">
        <v>347</v>
      </c>
      <c r="G16" s="205"/>
      <c r="H16" s="488">
        <v>221</v>
      </c>
      <c r="I16" s="401">
        <v>330</v>
      </c>
      <c r="J16" s="205">
        <f t="shared" si="1"/>
        <v>109</v>
      </c>
      <c r="K16" s="403">
        <v>258</v>
      </c>
      <c r="M16" s="223">
        <v>221</v>
      </c>
      <c r="N16" s="441"/>
      <c r="O16" s="196">
        <v>108.33333333333334</v>
      </c>
      <c r="P16" s="401">
        <v>163</v>
      </c>
      <c r="Q16" s="442" t="e">
        <f>#REF!+K16</f>
        <v>#REF!</v>
      </c>
      <c r="V16" s="401">
        <v>174</v>
      </c>
      <c r="W16" s="196">
        <v>22</v>
      </c>
      <c r="X16" s="401" t="s">
        <v>302</v>
      </c>
      <c r="Y16" s="401"/>
      <c r="Z16" s="401">
        <f>AD16/12*11</f>
        <v>0</v>
      </c>
      <c r="AA16" s="401">
        <v>144</v>
      </c>
      <c r="AC16" s="442">
        <v>167</v>
      </c>
      <c r="AJ16" s="394"/>
      <c r="AK16" s="214"/>
      <c r="AN16" s="527"/>
      <c r="AO16" s="214"/>
    </row>
    <row r="17" spans="1:41" ht="18">
      <c r="A17" s="398">
        <v>7</v>
      </c>
      <c r="B17" s="401">
        <v>14</v>
      </c>
      <c r="C17" s="401">
        <f t="shared" si="0"/>
        <v>7</v>
      </c>
      <c r="D17" s="401">
        <v>11</v>
      </c>
      <c r="E17" s="401"/>
      <c r="F17" s="401" t="s">
        <v>348</v>
      </c>
      <c r="G17" s="205"/>
      <c r="H17" s="488">
        <v>85</v>
      </c>
      <c r="I17" s="401">
        <v>134</v>
      </c>
      <c r="J17" s="205">
        <f t="shared" si="1"/>
        <v>49</v>
      </c>
      <c r="K17" s="403">
        <v>95</v>
      </c>
      <c r="M17" s="223">
        <v>85</v>
      </c>
      <c r="N17" s="441"/>
      <c r="O17" s="196">
        <v>50.83333333333333</v>
      </c>
      <c r="P17" s="401">
        <v>55</v>
      </c>
      <c r="Q17" s="442" t="e">
        <f>#REF!+K17</f>
        <v>#REF!</v>
      </c>
      <c r="V17" s="401">
        <v>60</v>
      </c>
      <c r="W17" s="196">
        <v>-8</v>
      </c>
      <c r="X17" s="401" t="s">
        <v>303</v>
      </c>
      <c r="Y17" s="401"/>
      <c r="Z17" s="401">
        <f>AD17/12*11</f>
        <v>0</v>
      </c>
      <c r="AA17" s="401">
        <v>97</v>
      </c>
      <c r="AC17" s="442">
        <v>122</v>
      </c>
      <c r="AJ17" s="394"/>
      <c r="AK17" s="214"/>
      <c r="AN17" s="527"/>
      <c r="AO17" s="214"/>
    </row>
    <row r="18" spans="1:41" ht="18">
      <c r="A18" s="398">
        <v>10</v>
      </c>
      <c r="B18" s="401">
        <v>33</v>
      </c>
      <c r="C18" s="401">
        <f t="shared" si="0"/>
        <v>23</v>
      </c>
      <c r="D18" s="401">
        <v>16</v>
      </c>
      <c r="E18" s="401"/>
      <c r="F18" s="401" t="s">
        <v>349</v>
      </c>
      <c r="G18" s="205"/>
      <c r="H18" s="488">
        <v>120</v>
      </c>
      <c r="I18" s="401">
        <v>395</v>
      </c>
      <c r="J18" s="205">
        <f t="shared" si="1"/>
        <v>275</v>
      </c>
      <c r="K18" s="403">
        <v>151</v>
      </c>
      <c r="M18" s="223">
        <v>120</v>
      </c>
      <c r="N18" s="441"/>
      <c r="O18" s="196">
        <v>40.83333333333333</v>
      </c>
      <c r="P18" s="401">
        <v>77</v>
      </c>
      <c r="Q18" s="442" t="e">
        <f>#REF!+K18</f>
        <v>#REF!</v>
      </c>
      <c r="V18" s="401">
        <v>81</v>
      </c>
      <c r="W18" s="196">
        <v>6</v>
      </c>
      <c r="X18" s="401" t="s">
        <v>304</v>
      </c>
      <c r="Y18" s="401"/>
      <c r="Z18" s="401">
        <v>132</v>
      </c>
      <c r="AA18" s="401">
        <f>87+71</f>
        <v>158</v>
      </c>
      <c r="AC18" s="442">
        <v>105</v>
      </c>
      <c r="AJ18" s="394"/>
      <c r="AK18" s="214"/>
      <c r="AN18" s="527"/>
      <c r="AO18" s="214"/>
    </row>
    <row r="19" spans="1:41" ht="18">
      <c r="A19" s="398">
        <v>15</v>
      </c>
      <c r="B19" s="401">
        <v>11</v>
      </c>
      <c r="C19" s="401">
        <f t="shared" si="0"/>
        <v>-4</v>
      </c>
      <c r="D19" s="401">
        <v>23</v>
      </c>
      <c r="E19" s="401"/>
      <c r="F19" s="401" t="s">
        <v>350</v>
      </c>
      <c r="G19" s="205"/>
      <c r="H19" s="488">
        <v>167</v>
      </c>
      <c r="I19" s="401">
        <v>165</v>
      </c>
      <c r="J19" s="205">
        <f t="shared" si="1"/>
        <v>-2</v>
      </c>
      <c r="K19" s="403">
        <v>166</v>
      </c>
      <c r="M19" s="223">
        <v>167</v>
      </c>
      <c r="N19" s="441"/>
      <c r="P19" s="401"/>
      <c r="Q19" s="442"/>
      <c r="V19" s="401"/>
      <c r="X19" s="401"/>
      <c r="Y19" s="401"/>
      <c r="Z19" s="401"/>
      <c r="AA19" s="401"/>
      <c r="AC19" s="442"/>
      <c r="AJ19" s="394"/>
      <c r="AK19" s="214"/>
      <c r="AN19" s="527"/>
      <c r="AO19" s="214"/>
    </row>
    <row r="20" spans="1:41" ht="18">
      <c r="A20" s="398">
        <v>1957</v>
      </c>
      <c r="B20" s="401">
        <v>1945</v>
      </c>
      <c r="C20" s="401">
        <f t="shared" si="0"/>
        <v>-12</v>
      </c>
      <c r="D20" s="401">
        <v>1987</v>
      </c>
      <c r="E20" s="401"/>
      <c r="F20" s="401" t="s">
        <v>351</v>
      </c>
      <c r="G20" s="205"/>
      <c r="H20" s="488">
        <v>22438</v>
      </c>
      <c r="I20" s="401">
        <v>21446</v>
      </c>
      <c r="J20" s="205">
        <f t="shared" si="1"/>
        <v>-992</v>
      </c>
      <c r="K20" s="403">
        <v>21163</v>
      </c>
      <c r="M20" s="223">
        <v>22438</v>
      </c>
      <c r="N20" s="441"/>
      <c r="O20" s="196">
        <v>11558.333333333332</v>
      </c>
      <c r="P20" s="401">
        <v>11878</v>
      </c>
      <c r="Q20" s="442" t="e">
        <f>#REF!+K23</f>
        <v>#REF!</v>
      </c>
      <c r="V20" s="401">
        <f>13150-39</f>
        <v>13111</v>
      </c>
      <c r="W20" s="196">
        <v>1332</v>
      </c>
      <c r="X20" s="401" t="s">
        <v>305</v>
      </c>
      <c r="Y20" s="401"/>
      <c r="Z20" s="401">
        <f>12955+213</f>
        <v>13168</v>
      </c>
      <c r="AA20" s="401">
        <v>13138</v>
      </c>
      <c r="AC20" s="442">
        <f>11610+196</f>
        <v>11806</v>
      </c>
      <c r="AJ20" s="394"/>
      <c r="AK20" s="214"/>
      <c r="AN20" s="527"/>
      <c r="AO20" s="214"/>
    </row>
    <row r="21" spans="1:41" ht="18">
      <c r="A21" s="398">
        <v>0</v>
      </c>
      <c r="B21" s="401">
        <v>0</v>
      </c>
      <c r="C21" s="401">
        <f aca="true" t="shared" si="2" ref="C21:C30">+B21-A21</f>
        <v>0</v>
      </c>
      <c r="D21" s="399">
        <v>0</v>
      </c>
      <c r="E21" s="401"/>
      <c r="F21" s="401" t="s">
        <v>352</v>
      </c>
      <c r="G21" s="205"/>
      <c r="H21" s="488">
        <v>0</v>
      </c>
      <c r="I21" s="401">
        <v>0</v>
      </c>
      <c r="J21" s="205">
        <f t="shared" si="1"/>
        <v>0</v>
      </c>
      <c r="K21" s="403">
        <v>0</v>
      </c>
      <c r="M21" s="223">
        <v>0</v>
      </c>
      <c r="N21" s="441"/>
      <c r="O21" s="196">
        <v>372.5</v>
      </c>
      <c r="P21" s="401">
        <v>372</v>
      </c>
      <c r="Q21" s="442" t="e">
        <f>#REF!+#REF!</f>
        <v>#REF!</v>
      </c>
      <c r="V21" s="401">
        <v>410</v>
      </c>
      <c r="W21" s="196">
        <v>35</v>
      </c>
      <c r="X21" s="401" t="s">
        <v>306</v>
      </c>
      <c r="Y21" s="401"/>
      <c r="Z21" s="401">
        <v>377</v>
      </c>
      <c r="AA21" s="401">
        <v>423</v>
      </c>
      <c r="AC21" s="442">
        <v>388</v>
      </c>
      <c r="AJ21" s="394"/>
      <c r="AK21" s="214"/>
      <c r="AN21" s="527"/>
      <c r="AO21" s="214"/>
    </row>
    <row r="22" spans="1:41" ht="18">
      <c r="A22" s="398">
        <v>0</v>
      </c>
      <c r="B22" s="401">
        <v>0</v>
      </c>
      <c r="C22" s="401">
        <f t="shared" si="2"/>
        <v>0</v>
      </c>
      <c r="D22" s="401">
        <v>70</v>
      </c>
      <c r="E22" s="401"/>
      <c r="F22" s="401" t="s">
        <v>306</v>
      </c>
      <c r="G22" s="205"/>
      <c r="H22" s="488">
        <v>0</v>
      </c>
      <c r="I22" s="401">
        <v>0</v>
      </c>
      <c r="J22" s="205">
        <f t="shared" si="1"/>
        <v>0</v>
      </c>
      <c r="K22" s="403">
        <v>629</v>
      </c>
      <c r="M22" s="223">
        <v>0</v>
      </c>
      <c r="N22" s="441"/>
      <c r="P22" s="401"/>
      <c r="Q22" s="442"/>
      <c r="V22" s="401"/>
      <c r="X22" s="401"/>
      <c r="Y22" s="401"/>
      <c r="Z22" s="401"/>
      <c r="AA22" s="401"/>
      <c r="AC22" s="442"/>
      <c r="AJ22" s="394"/>
      <c r="AK22" s="214"/>
      <c r="AN22" s="527"/>
      <c r="AO22" s="214"/>
    </row>
    <row r="23" spans="1:41" ht="18">
      <c r="A23" s="398">
        <v>61</v>
      </c>
      <c r="B23" s="401">
        <v>52</v>
      </c>
      <c r="C23" s="401">
        <f t="shared" si="2"/>
        <v>-9</v>
      </c>
      <c r="D23" s="399">
        <v>0</v>
      </c>
      <c r="E23" s="401"/>
      <c r="F23" s="401" t="s">
        <v>353</v>
      </c>
      <c r="G23" s="205"/>
      <c r="H23" s="488">
        <v>697</v>
      </c>
      <c r="I23" s="401">
        <v>669.994</v>
      </c>
      <c r="J23" s="205">
        <f t="shared" si="1"/>
        <v>-27.005999999999972</v>
      </c>
      <c r="K23" s="403">
        <v>0</v>
      </c>
      <c r="M23" s="223">
        <v>697</v>
      </c>
      <c r="O23" s="196">
        <v>50</v>
      </c>
      <c r="P23" s="401">
        <v>60</v>
      </c>
      <c r="Q23" s="442" t="e">
        <f>#REF!+#REF!</f>
        <v>#REF!</v>
      </c>
      <c r="V23" s="401">
        <v>61</v>
      </c>
      <c r="W23" s="196">
        <v>22</v>
      </c>
      <c r="X23" s="401" t="s">
        <v>307</v>
      </c>
      <c r="Y23" s="401"/>
      <c r="Z23" s="401">
        <v>72</v>
      </c>
      <c r="AA23" s="401">
        <v>90</v>
      </c>
      <c r="AC23" s="442">
        <v>68</v>
      </c>
      <c r="AJ23" s="394"/>
      <c r="AK23" s="214"/>
      <c r="AN23" s="527"/>
      <c r="AO23" s="214"/>
    </row>
    <row r="24" spans="1:37" ht="18">
      <c r="A24" s="398">
        <v>0</v>
      </c>
      <c r="B24" s="401">
        <v>11</v>
      </c>
      <c r="C24" s="401">
        <f t="shared" si="2"/>
        <v>11</v>
      </c>
      <c r="D24" s="401">
        <v>-15</v>
      </c>
      <c r="E24" s="401"/>
      <c r="F24" s="401" t="s">
        <v>307</v>
      </c>
      <c r="G24" s="205"/>
      <c r="H24" s="488">
        <v>0</v>
      </c>
      <c r="I24" s="401">
        <v>111.486</v>
      </c>
      <c r="J24" s="205">
        <f t="shared" si="1"/>
        <v>111.486</v>
      </c>
      <c r="K24" s="403">
        <v>78</v>
      </c>
      <c r="M24" s="223">
        <v>0</v>
      </c>
      <c r="O24" s="196">
        <v>-5410</v>
      </c>
      <c r="P24" s="401">
        <v>-3910</v>
      </c>
      <c r="Q24" s="442" t="e">
        <f>#REF!+K26</f>
        <v>#REF!</v>
      </c>
      <c r="V24" s="401">
        <f>-391*11</f>
        <v>-4301</v>
      </c>
      <c r="W24" s="196">
        <v>-261</v>
      </c>
      <c r="X24" s="401" t="s">
        <v>308</v>
      </c>
      <c r="Y24" s="401"/>
      <c r="Z24" s="401">
        <v>-1887</v>
      </c>
      <c r="AA24" s="401">
        <v>-1992</v>
      </c>
      <c r="AC24" s="442">
        <v>-8161</v>
      </c>
      <c r="AJ24" s="394"/>
      <c r="AK24" s="214"/>
    </row>
    <row r="25" spans="1:36" ht="18">
      <c r="A25" s="398">
        <v>0</v>
      </c>
      <c r="B25" s="401">
        <v>0</v>
      </c>
      <c r="C25" s="401">
        <f t="shared" si="2"/>
        <v>0</v>
      </c>
      <c r="D25" s="401">
        <v>0</v>
      </c>
      <c r="E25" s="401"/>
      <c r="F25" s="401" t="s">
        <v>354</v>
      </c>
      <c r="G25" s="205"/>
      <c r="H25" s="488">
        <v>0</v>
      </c>
      <c r="I25" s="401">
        <v>0</v>
      </c>
      <c r="J25" s="205">
        <f t="shared" si="1"/>
        <v>0</v>
      </c>
      <c r="K25" s="403">
        <v>190</v>
      </c>
      <c r="M25" s="223">
        <v>0</v>
      </c>
      <c r="P25" s="401"/>
      <c r="Q25" s="442"/>
      <c r="V25" s="401"/>
      <c r="X25" s="401"/>
      <c r="Y25" s="401"/>
      <c r="Z25" s="401"/>
      <c r="AA25" s="401"/>
      <c r="AC25" s="442"/>
      <c r="AJ25" s="394"/>
    </row>
    <row r="26" spans="1:36" ht="18">
      <c r="A26" s="398">
        <v>7</v>
      </c>
      <c r="B26" s="401">
        <v>3</v>
      </c>
      <c r="C26" s="401">
        <f t="shared" si="2"/>
        <v>-4</v>
      </c>
      <c r="D26" s="401">
        <v>0</v>
      </c>
      <c r="E26" s="401"/>
      <c r="F26" s="401" t="s">
        <v>355</v>
      </c>
      <c r="G26" s="205"/>
      <c r="H26" s="488">
        <v>77</v>
      </c>
      <c r="I26" s="401">
        <v>77</v>
      </c>
      <c r="J26" s="205">
        <f t="shared" si="1"/>
        <v>0</v>
      </c>
      <c r="K26" s="403">
        <v>63</v>
      </c>
      <c r="M26" s="223">
        <v>77</v>
      </c>
      <c r="N26" s="441"/>
      <c r="O26" s="196">
        <v>1024.1666666666667</v>
      </c>
      <c r="P26" s="401">
        <v>1048</v>
      </c>
      <c r="Q26" s="442" t="e">
        <f>#REF!+#REF!</f>
        <v>#REF!</v>
      </c>
      <c r="V26" s="401">
        <v>1133</v>
      </c>
      <c r="W26" s="196">
        <v>9</v>
      </c>
      <c r="X26" s="401" t="s">
        <v>310</v>
      </c>
      <c r="Y26" s="401"/>
      <c r="Z26" s="401">
        <f>AD26/12*11</f>
        <v>0</v>
      </c>
      <c r="AA26" s="401">
        <v>9</v>
      </c>
      <c r="AC26" s="442">
        <f>903+152</f>
        <v>1055</v>
      </c>
      <c r="AJ26" s="394"/>
    </row>
    <row r="27" spans="1:36" ht="18">
      <c r="A27" s="398">
        <v>108</v>
      </c>
      <c r="B27" s="401">
        <v>218</v>
      </c>
      <c r="C27" s="401">
        <f t="shared" si="2"/>
        <v>110</v>
      </c>
      <c r="D27" s="401">
        <v>0</v>
      </c>
      <c r="E27" s="443"/>
      <c r="F27" s="401" t="s">
        <v>309</v>
      </c>
      <c r="G27" s="205"/>
      <c r="H27" s="488">
        <v>1103</v>
      </c>
      <c r="I27" s="401">
        <v>1612.953</v>
      </c>
      <c r="J27" s="205">
        <f t="shared" si="1"/>
        <v>509.953</v>
      </c>
      <c r="K27" s="403">
        <v>1363</v>
      </c>
      <c r="M27" s="223">
        <v>1103</v>
      </c>
      <c r="N27" s="441"/>
      <c r="P27" s="401"/>
      <c r="Q27" s="442"/>
      <c r="V27" s="401"/>
      <c r="X27" s="401"/>
      <c r="Y27" s="401"/>
      <c r="Z27" s="401"/>
      <c r="AA27" s="401"/>
      <c r="AC27" s="442"/>
      <c r="AJ27" s="394"/>
    </row>
    <row r="28" spans="1:36" ht="18">
      <c r="A28" s="398">
        <v>118</v>
      </c>
      <c r="B28" s="401">
        <v>76</v>
      </c>
      <c r="C28" s="401">
        <f t="shared" si="2"/>
        <v>-42</v>
      </c>
      <c r="D28" s="401">
        <v>106</v>
      </c>
      <c r="E28" s="443"/>
      <c r="F28" s="401" t="s">
        <v>356</v>
      </c>
      <c r="G28" s="205"/>
      <c r="H28" s="488">
        <v>1302</v>
      </c>
      <c r="I28" s="401">
        <v>807.051</v>
      </c>
      <c r="J28" s="205">
        <f t="shared" si="1"/>
        <v>-494.94899999999996</v>
      </c>
      <c r="K28" s="403">
        <v>1302</v>
      </c>
      <c r="M28" s="223">
        <v>1302</v>
      </c>
      <c r="N28" s="441"/>
      <c r="P28" s="401"/>
      <c r="Q28" s="442"/>
      <c r="V28" s="401"/>
      <c r="X28" s="401"/>
      <c r="Y28" s="401"/>
      <c r="Z28" s="401"/>
      <c r="AA28" s="401"/>
      <c r="AC28" s="442"/>
      <c r="AJ28" s="394"/>
    </row>
    <row r="29" spans="1:36" ht="18">
      <c r="A29" s="398">
        <v>2</v>
      </c>
      <c r="B29" s="401">
        <f>-376-7</f>
        <v>-383</v>
      </c>
      <c r="C29" s="401">
        <f t="shared" si="2"/>
        <v>-385</v>
      </c>
      <c r="D29" s="401">
        <v>-148</v>
      </c>
      <c r="E29" s="443"/>
      <c r="F29" s="401" t="s">
        <v>113</v>
      </c>
      <c r="G29" s="205"/>
      <c r="H29" s="488">
        <v>7</v>
      </c>
      <c r="I29" s="401">
        <v>16</v>
      </c>
      <c r="J29" s="205">
        <f t="shared" si="1"/>
        <v>9</v>
      </c>
      <c r="K29" s="403">
        <v>-1343</v>
      </c>
      <c r="M29" s="223">
        <v>7</v>
      </c>
      <c r="N29" s="441"/>
      <c r="P29" s="401"/>
      <c r="Q29" s="442"/>
      <c r="V29" s="401"/>
      <c r="X29" s="401"/>
      <c r="Y29" s="401"/>
      <c r="Z29" s="401"/>
      <c r="AA29" s="401"/>
      <c r="AC29" s="442"/>
      <c r="AJ29" s="394"/>
    </row>
    <row r="30" spans="1:36" ht="18">
      <c r="A30" s="398">
        <v>0</v>
      </c>
      <c r="B30" s="401">
        <v>0</v>
      </c>
      <c r="C30" s="401">
        <f t="shared" si="2"/>
        <v>0</v>
      </c>
      <c r="D30" s="401">
        <v>1762</v>
      </c>
      <c r="E30" s="443"/>
      <c r="F30" s="401" t="s">
        <v>357</v>
      </c>
      <c r="G30" s="205"/>
      <c r="H30" s="488">
        <v>0</v>
      </c>
      <c r="I30" s="401">
        <v>0</v>
      </c>
      <c r="J30" s="205">
        <f t="shared" si="1"/>
        <v>0</v>
      </c>
      <c r="K30" s="403">
        <v>0</v>
      </c>
      <c r="M30" s="223">
        <v>0</v>
      </c>
      <c r="N30" s="441"/>
      <c r="P30" s="401"/>
      <c r="Q30" s="442"/>
      <c r="V30" s="401"/>
      <c r="X30" s="401"/>
      <c r="Y30" s="401"/>
      <c r="Z30" s="401"/>
      <c r="AA30" s="401"/>
      <c r="AC30" s="442"/>
      <c r="AJ30" s="394"/>
    </row>
    <row r="31" spans="1:36" ht="18">
      <c r="A31" s="398"/>
      <c r="B31" s="401"/>
      <c r="C31" s="401"/>
      <c r="D31" s="401"/>
      <c r="E31" s="401"/>
      <c r="F31" s="401"/>
      <c r="G31" s="205"/>
      <c r="H31" s="488"/>
      <c r="I31" s="488"/>
      <c r="J31" s="488"/>
      <c r="K31" s="403"/>
      <c r="M31" s="223"/>
      <c r="P31" s="401"/>
      <c r="Q31" s="442"/>
      <c r="X31" s="401"/>
      <c r="Y31" s="401"/>
      <c r="Z31" s="401"/>
      <c r="AA31" s="401"/>
      <c r="AJ31" s="394"/>
    </row>
    <row r="32" spans="1:36" ht="18">
      <c r="A32" s="222">
        <f>SUM(A8:A31)</f>
        <v>19352</v>
      </c>
      <c r="B32" s="224">
        <f>SUM(B8:B31)</f>
        <v>20789</v>
      </c>
      <c r="C32" s="224">
        <f>SUM(C8:C31)</f>
        <v>1437</v>
      </c>
      <c r="D32" s="224">
        <f>SUM(D8:D31)</f>
        <v>21380</v>
      </c>
      <c r="E32" s="444"/>
      <c r="F32" s="224" t="s">
        <v>311</v>
      </c>
      <c r="G32" s="445"/>
      <c r="H32" s="224">
        <f>SUM(H8:H31)</f>
        <v>226264</v>
      </c>
      <c r="I32" s="224">
        <f>SUM(I8:I31)</f>
        <v>237239.48400000003</v>
      </c>
      <c r="J32" s="445">
        <f>SUM(J8:J31)</f>
        <v>10975.484</v>
      </c>
      <c r="K32" s="404">
        <f>SUM(K8:K31)</f>
        <v>221653</v>
      </c>
      <c r="M32" s="446">
        <f>SUM(M8:M31)</f>
        <v>226264</v>
      </c>
      <c r="O32" s="196">
        <v>153985</v>
      </c>
      <c r="P32" s="224">
        <v>159158</v>
      </c>
      <c r="Q32" s="404" t="e">
        <f>SUM(Q8:Q31)</f>
        <v>#REF!</v>
      </c>
      <c r="W32" s="196">
        <f>SUM(W8:W31)</f>
        <v>15602</v>
      </c>
      <c r="X32" s="196">
        <f>SUM(X8:X31)</f>
        <v>0</v>
      </c>
      <c r="Y32" s="196">
        <f>SUM(Y8:Y31)</f>
        <v>0</v>
      </c>
      <c r="Z32" s="196">
        <f>SUM(Z8:Z31)</f>
        <v>167075</v>
      </c>
      <c r="AA32" s="196">
        <f>SUM(AA8:AA31)</f>
        <v>172694</v>
      </c>
      <c r="AJ32" s="396"/>
    </row>
    <row r="33" spans="1:36" ht="18">
      <c r="A33" s="398"/>
      <c r="B33" s="401"/>
      <c r="C33" s="401"/>
      <c r="D33" s="400"/>
      <c r="E33" s="401"/>
      <c r="F33" s="401"/>
      <c r="G33" s="205"/>
      <c r="H33" s="401"/>
      <c r="I33" s="401"/>
      <c r="J33" s="205"/>
      <c r="K33" s="447"/>
      <c r="M33" s="223"/>
      <c r="P33" s="401"/>
      <c r="Q33" s="442"/>
      <c r="AJ33" s="396"/>
    </row>
    <row r="34" spans="1:29" ht="18">
      <c r="A34" s="398">
        <v>131</v>
      </c>
      <c r="B34" s="401">
        <v>97</v>
      </c>
      <c r="C34" s="401">
        <f>B34-A34</f>
        <v>-34</v>
      </c>
      <c r="D34" s="51">
        <v>41</v>
      </c>
      <c r="E34" s="401"/>
      <c r="F34" s="401" t="s">
        <v>312</v>
      </c>
      <c r="G34" s="205"/>
      <c r="H34" s="401">
        <v>1577.508</v>
      </c>
      <c r="I34" s="401">
        <v>1529</v>
      </c>
      <c r="J34" s="401">
        <f>+I34-H34</f>
        <v>-48.50800000000004</v>
      </c>
      <c r="K34" s="143">
        <v>1639</v>
      </c>
      <c r="M34" s="223">
        <v>1577.508</v>
      </c>
      <c r="N34" s="441"/>
      <c r="O34" s="196">
        <v>949.1666666666667</v>
      </c>
      <c r="P34" s="401">
        <v>952</v>
      </c>
      <c r="Q34" s="442" t="e">
        <f>#REF!+K34</f>
        <v>#REF!</v>
      </c>
      <c r="V34" s="401">
        <v>1047</v>
      </c>
      <c r="W34" s="196">
        <v>26</v>
      </c>
      <c r="X34" s="401" t="s">
        <v>312</v>
      </c>
      <c r="Y34" s="401"/>
      <c r="Z34" s="401">
        <v>797</v>
      </c>
      <c r="AA34" s="401">
        <v>1087</v>
      </c>
      <c r="AC34" s="442">
        <v>995</v>
      </c>
    </row>
    <row r="35" spans="1:29" ht="18">
      <c r="A35" s="398">
        <v>551</v>
      </c>
      <c r="B35" s="401">
        <v>409</v>
      </c>
      <c r="C35" s="401">
        <f>B35-A35</f>
        <v>-142</v>
      </c>
      <c r="D35" s="51">
        <v>644</v>
      </c>
      <c r="E35" s="401"/>
      <c r="F35" s="401" t="s">
        <v>313</v>
      </c>
      <c r="G35" s="205"/>
      <c r="H35" s="401">
        <v>6614.952</v>
      </c>
      <c r="I35" s="401">
        <v>5445</v>
      </c>
      <c r="J35" s="401">
        <f>+I35-H35</f>
        <v>-1169.9520000000002</v>
      </c>
      <c r="K35" s="143">
        <v>7452</v>
      </c>
      <c r="M35" s="223">
        <v>6614.952</v>
      </c>
      <c r="N35" s="441"/>
      <c r="O35" s="196">
        <v>5306.833333333333</v>
      </c>
      <c r="P35" s="401">
        <v>4822</v>
      </c>
      <c r="Q35" s="442" t="e">
        <f>#REF!+K35</f>
        <v>#REF!</v>
      </c>
      <c r="V35" s="401">
        <v>5388</v>
      </c>
      <c r="W35" s="196">
        <v>198</v>
      </c>
      <c r="X35" s="401" t="s">
        <v>313</v>
      </c>
      <c r="Y35" s="401"/>
      <c r="Z35" s="401">
        <v>4504</v>
      </c>
      <c r="AA35" s="401">
        <v>5257</v>
      </c>
      <c r="AC35" s="442">
        <v>4684</v>
      </c>
    </row>
    <row r="36" spans="1:29" ht="18">
      <c r="A36" s="398">
        <v>276</v>
      </c>
      <c r="B36" s="401">
        <v>345</v>
      </c>
      <c r="C36" s="401">
        <f>B36-A36</f>
        <v>69</v>
      </c>
      <c r="D36" s="51">
        <v>185</v>
      </c>
      <c r="E36" s="401"/>
      <c r="F36" s="401" t="s">
        <v>314</v>
      </c>
      <c r="G36" s="205"/>
      <c r="H36" s="401">
        <v>3308.532</v>
      </c>
      <c r="I36" s="401">
        <v>3144</v>
      </c>
      <c r="J36" s="401">
        <f>+I36-H36</f>
        <v>-164.53200000000015</v>
      </c>
      <c r="K36" s="143">
        <v>2896</v>
      </c>
      <c r="M36" s="223">
        <v>3308.532</v>
      </c>
      <c r="N36" s="441"/>
      <c r="O36" s="196">
        <v>2113.3333333333335</v>
      </c>
      <c r="P36" s="401">
        <v>2114</v>
      </c>
      <c r="Q36" s="442" t="e">
        <f>#REF!+K36</f>
        <v>#REF!</v>
      </c>
      <c r="V36" s="401">
        <v>2326</v>
      </c>
      <c r="W36" s="196">
        <v>4</v>
      </c>
      <c r="X36" s="401" t="s">
        <v>314</v>
      </c>
      <c r="Y36" s="401"/>
      <c r="Z36" s="401">
        <v>2434</v>
      </c>
      <c r="AA36" s="401">
        <v>2486</v>
      </c>
      <c r="AC36" s="442">
        <v>2279</v>
      </c>
    </row>
    <row r="37" spans="1:17" ht="18">
      <c r="A37" s="398">
        <v>0</v>
      </c>
      <c r="B37" s="401">
        <v>612</v>
      </c>
      <c r="C37" s="401">
        <f>B37-A37</f>
        <v>612</v>
      </c>
      <c r="D37" s="51">
        <v>-459</v>
      </c>
      <c r="E37" s="401"/>
      <c r="F37" s="401" t="s">
        <v>315</v>
      </c>
      <c r="G37" s="205"/>
      <c r="H37" s="401">
        <v>0</v>
      </c>
      <c r="I37" s="401">
        <v>612</v>
      </c>
      <c r="J37" s="401">
        <f>+I37-H37</f>
        <v>612</v>
      </c>
      <c r="K37" s="143">
        <v>1530</v>
      </c>
      <c r="M37" s="223">
        <v>0</v>
      </c>
      <c r="N37" s="441"/>
      <c r="P37" s="401"/>
      <c r="Q37" s="442"/>
    </row>
    <row r="38" spans="1:17" ht="18">
      <c r="A38" s="222">
        <f>SUM(A34:A37)</f>
        <v>958</v>
      </c>
      <c r="B38" s="224">
        <f>SUM(B34:B37)</f>
        <v>1463</v>
      </c>
      <c r="C38" s="224">
        <f>SUM(C34:C37)</f>
        <v>505</v>
      </c>
      <c r="D38" s="224">
        <f>SUM(D34:D37)</f>
        <v>411</v>
      </c>
      <c r="E38" s="224"/>
      <c r="F38" s="224" t="s">
        <v>316</v>
      </c>
      <c r="G38" s="445"/>
      <c r="H38" s="224">
        <f>SUM(H34:H37)</f>
        <v>11500.992000000002</v>
      </c>
      <c r="I38" s="224">
        <f>SUM(I34:I37)</f>
        <v>10730</v>
      </c>
      <c r="J38" s="224">
        <f>SUM(J34:J37)</f>
        <v>-770.9920000000004</v>
      </c>
      <c r="K38" s="404">
        <f>SUM(K34:K37)</f>
        <v>13517</v>
      </c>
      <c r="M38" s="446">
        <f>SUM(M34:M37)</f>
        <v>11500.992000000002</v>
      </c>
      <c r="N38" s="441"/>
      <c r="O38" s="196">
        <v>8369.333333333334</v>
      </c>
      <c r="P38" s="224">
        <v>7888</v>
      </c>
      <c r="Q38" s="404" t="e">
        <f>SUM(Q34:Q37)</f>
        <v>#REF!</v>
      </c>
    </row>
    <row r="39" spans="1:17" ht="18">
      <c r="A39" s="448"/>
      <c r="B39" s="401"/>
      <c r="C39" s="401"/>
      <c r="D39" s="208"/>
      <c r="E39" s="401"/>
      <c r="F39" s="401"/>
      <c r="G39" s="205"/>
      <c r="H39" s="401"/>
      <c r="I39" s="401"/>
      <c r="J39" s="205"/>
      <c r="K39" s="442"/>
      <c r="M39" s="223"/>
      <c r="N39" s="441"/>
      <c r="P39" s="401"/>
      <c r="Q39" s="442"/>
    </row>
    <row r="40" spans="1:29" ht="18">
      <c r="A40" s="398">
        <v>185</v>
      </c>
      <c r="B40" s="401">
        <v>212</v>
      </c>
      <c r="C40" s="401">
        <f>B40-A40</f>
        <v>27</v>
      </c>
      <c r="D40" s="51">
        <v>195</v>
      </c>
      <c r="E40" s="401"/>
      <c r="F40" s="401" t="s">
        <v>317</v>
      </c>
      <c r="G40" s="205"/>
      <c r="H40" s="401">
        <v>2227</v>
      </c>
      <c r="I40" s="401">
        <v>2095</v>
      </c>
      <c r="J40" s="401">
        <f>+I40-H40</f>
        <v>-132</v>
      </c>
      <c r="K40" s="143">
        <v>1889</v>
      </c>
      <c r="M40" s="223">
        <v>2227.045</v>
      </c>
      <c r="O40" s="196">
        <v>2204.1666666666665</v>
      </c>
      <c r="P40" s="401">
        <v>2027</v>
      </c>
      <c r="Q40" s="442" t="e">
        <f>#REF!+K40</f>
        <v>#REF!</v>
      </c>
      <c r="V40" s="401">
        <v>2141</v>
      </c>
      <c r="W40" s="196">
        <v>97</v>
      </c>
      <c r="X40" s="401" t="s">
        <v>318</v>
      </c>
      <c r="Y40" s="401"/>
      <c r="Z40" s="401">
        <v>1042</v>
      </c>
      <c r="AA40" s="401">
        <v>925</v>
      </c>
      <c r="AC40" s="442">
        <v>2365</v>
      </c>
    </row>
    <row r="41" spans="1:29" ht="18">
      <c r="A41" s="398">
        <v>3</v>
      </c>
      <c r="B41" s="401">
        <v>1</v>
      </c>
      <c r="C41" s="401">
        <f>B41-A41</f>
        <v>-2</v>
      </c>
      <c r="D41" s="51">
        <v>2</v>
      </c>
      <c r="E41" s="401"/>
      <c r="F41" s="401" t="s">
        <v>319</v>
      </c>
      <c r="G41" s="205"/>
      <c r="H41" s="401">
        <v>34</v>
      </c>
      <c r="I41" s="401">
        <v>29</v>
      </c>
      <c r="J41" s="401">
        <f>+I41-H41</f>
        <v>-5</v>
      </c>
      <c r="K41" s="143">
        <v>25</v>
      </c>
      <c r="M41" s="223">
        <v>33.631</v>
      </c>
      <c r="O41" s="196">
        <v>28.666666666666668</v>
      </c>
      <c r="P41" s="401">
        <v>20</v>
      </c>
      <c r="Q41" s="442" t="e">
        <f>#REF!+K41</f>
        <v>#REF!</v>
      </c>
      <c r="V41" s="401">
        <v>24</v>
      </c>
      <c r="W41" s="196">
        <v>0</v>
      </c>
      <c r="X41" s="401" t="s">
        <v>320</v>
      </c>
      <c r="Y41" s="401"/>
      <c r="Z41" s="401">
        <f>AD41/12*11</f>
        <v>0</v>
      </c>
      <c r="AA41" s="401">
        <v>0</v>
      </c>
      <c r="AC41" s="442">
        <v>32</v>
      </c>
    </row>
    <row r="42" spans="1:29" ht="18">
      <c r="A42" s="398">
        <v>133</v>
      </c>
      <c r="B42" s="401">
        <v>194</v>
      </c>
      <c r="C42" s="401">
        <f>B42-A42</f>
        <v>61</v>
      </c>
      <c r="D42" s="51">
        <v>160</v>
      </c>
      <c r="E42" s="401"/>
      <c r="F42" s="401" t="s">
        <v>321</v>
      </c>
      <c r="G42" s="205"/>
      <c r="H42" s="401">
        <v>1757</v>
      </c>
      <c r="I42" s="401">
        <v>1757</v>
      </c>
      <c r="J42" s="401">
        <f>+I42-H42</f>
        <v>0</v>
      </c>
      <c r="K42" s="143">
        <v>1784</v>
      </c>
      <c r="M42" s="223">
        <v>1756.788</v>
      </c>
      <c r="O42" s="196">
        <v>790</v>
      </c>
      <c r="P42" s="401">
        <v>1062</v>
      </c>
      <c r="Q42" s="442" t="e">
        <f>#REF!+K42</f>
        <v>#REF!</v>
      </c>
      <c r="V42" s="401">
        <v>1161</v>
      </c>
      <c r="W42" s="196">
        <v>399</v>
      </c>
      <c r="X42" s="401" t="s">
        <v>317</v>
      </c>
      <c r="Y42" s="401"/>
      <c r="Z42" s="401">
        <v>2331</v>
      </c>
      <c r="AA42" s="401">
        <v>2764</v>
      </c>
      <c r="AC42" s="442">
        <v>828</v>
      </c>
    </row>
    <row r="43" spans="1:29" ht="18">
      <c r="A43" s="398">
        <v>0</v>
      </c>
      <c r="B43" s="401">
        <v>0</v>
      </c>
      <c r="C43" s="401">
        <f>B43-A43</f>
        <v>0</v>
      </c>
      <c r="D43" s="51">
        <v>0</v>
      </c>
      <c r="E43" s="401"/>
      <c r="F43" s="401" t="s">
        <v>322</v>
      </c>
      <c r="G43" s="205"/>
      <c r="H43" s="401">
        <v>4</v>
      </c>
      <c r="I43" s="401">
        <v>7</v>
      </c>
      <c r="J43" s="401">
        <f>+I43-H43</f>
        <v>3</v>
      </c>
      <c r="K43" s="143">
        <v>4</v>
      </c>
      <c r="M43" s="223">
        <v>4.388</v>
      </c>
      <c r="O43" s="196">
        <v>17.5</v>
      </c>
      <c r="P43" s="401">
        <v>12</v>
      </c>
      <c r="Q43" s="442" t="e">
        <f>#REF!+K43</f>
        <v>#REF!</v>
      </c>
      <c r="V43" s="401">
        <v>12</v>
      </c>
      <c r="W43" s="196">
        <v>5</v>
      </c>
      <c r="X43" s="401" t="s">
        <v>323</v>
      </c>
      <c r="Y43" s="401"/>
      <c r="Z43" s="401">
        <v>65</v>
      </c>
      <c r="AA43" s="401">
        <v>69</v>
      </c>
      <c r="AC43" s="442">
        <v>0</v>
      </c>
    </row>
    <row r="44" spans="1:29" ht="18">
      <c r="A44" s="398">
        <v>4</v>
      </c>
      <c r="B44" s="401">
        <v>3</v>
      </c>
      <c r="C44" s="401">
        <f>B44-A44</f>
        <v>-1</v>
      </c>
      <c r="D44" s="51">
        <v>4</v>
      </c>
      <c r="E44" s="401"/>
      <c r="F44" s="401" t="s">
        <v>323</v>
      </c>
      <c r="G44" s="205"/>
      <c r="H44" s="401">
        <v>44.468</v>
      </c>
      <c r="I44" s="401">
        <v>34</v>
      </c>
      <c r="J44" s="401">
        <f>+I44-H44</f>
        <v>-10.468000000000004</v>
      </c>
      <c r="K44" s="143">
        <v>43</v>
      </c>
      <c r="M44" s="223">
        <v>44.468</v>
      </c>
      <c r="N44" s="441"/>
      <c r="O44" s="196">
        <v>57.83333333333334</v>
      </c>
      <c r="P44" s="401">
        <v>74</v>
      </c>
      <c r="Q44" s="442" t="e">
        <f>#REF!+K44</f>
        <v>#REF!</v>
      </c>
      <c r="V44" s="401">
        <v>78</v>
      </c>
      <c r="W44" s="196">
        <v>12</v>
      </c>
      <c r="X44" s="401" t="s">
        <v>319</v>
      </c>
      <c r="Y44" s="401"/>
      <c r="Z44" s="401">
        <v>3</v>
      </c>
      <c r="AA44" s="401">
        <v>44</v>
      </c>
      <c r="AC44" s="442">
        <v>64</v>
      </c>
    </row>
    <row r="45" spans="1:27" ht="18">
      <c r="A45" s="398"/>
      <c r="B45" s="401"/>
      <c r="C45" s="401"/>
      <c r="D45" s="208"/>
      <c r="E45" s="401"/>
      <c r="F45" s="401"/>
      <c r="G45" s="205"/>
      <c r="H45" s="208"/>
      <c r="I45" s="401"/>
      <c r="J45" s="205"/>
      <c r="K45" s="442"/>
      <c r="M45" s="223"/>
      <c r="N45" s="441"/>
      <c r="P45" s="401"/>
      <c r="Q45" s="442"/>
      <c r="W45" s="196">
        <v>600</v>
      </c>
      <c r="X45" s="401" t="s">
        <v>324</v>
      </c>
      <c r="Y45" s="401"/>
      <c r="Z45" s="401">
        <v>5730</v>
      </c>
      <c r="AA45" s="401">
        <v>5899</v>
      </c>
    </row>
    <row r="46" spans="1:27" ht="18">
      <c r="A46" s="222">
        <f>SUM(A40:A45)</f>
        <v>325</v>
      </c>
      <c r="B46" s="224">
        <f>SUM(B40:B45)</f>
        <v>410</v>
      </c>
      <c r="C46" s="224">
        <f>SUM(C40:C45)</f>
        <v>85</v>
      </c>
      <c r="D46" s="224">
        <f>SUM(D40:D45)</f>
        <v>361</v>
      </c>
      <c r="E46" s="224"/>
      <c r="F46" s="224" t="s">
        <v>325</v>
      </c>
      <c r="G46" s="445"/>
      <c r="H46" s="224">
        <f>SUM(H40:H45)</f>
        <v>4066.468</v>
      </c>
      <c r="I46" s="224">
        <f>SUM(I40:I45)</f>
        <v>3922</v>
      </c>
      <c r="J46" s="445">
        <f>SUM(J40:J45)</f>
        <v>-144.46800000000002</v>
      </c>
      <c r="K46" s="404">
        <f>SUM(K40:K45)</f>
        <v>3745</v>
      </c>
      <c r="L46" s="449"/>
      <c r="M46" s="446">
        <f>SUM(M40:M45)</f>
        <v>4066.3199999999997</v>
      </c>
      <c r="N46" s="441"/>
      <c r="O46" s="196">
        <v>3098.1666666666665</v>
      </c>
      <c r="P46" s="224">
        <v>3195</v>
      </c>
      <c r="Q46" s="450" t="e">
        <f>SUM(Q40:Q45)</f>
        <v>#REF!</v>
      </c>
      <c r="W46" s="196">
        <v>0</v>
      </c>
      <c r="X46" s="401" t="s">
        <v>326</v>
      </c>
      <c r="Y46" s="401"/>
      <c r="Z46" s="401">
        <v>102</v>
      </c>
      <c r="AA46" s="401"/>
    </row>
    <row r="47" spans="1:27" ht="18">
      <c r="A47" s="448"/>
      <c r="B47" s="401"/>
      <c r="C47" s="401"/>
      <c r="D47" s="208"/>
      <c r="E47" s="401"/>
      <c r="F47" s="401"/>
      <c r="G47" s="205"/>
      <c r="H47" s="208"/>
      <c r="I47" s="401"/>
      <c r="J47" s="205"/>
      <c r="K47" s="442"/>
      <c r="M47" s="223"/>
      <c r="N47" s="441"/>
      <c r="P47" s="401"/>
      <c r="Q47" s="442"/>
      <c r="W47" s="196">
        <v>53</v>
      </c>
      <c r="X47" s="401" t="s">
        <v>327</v>
      </c>
      <c r="Y47" s="401"/>
      <c r="Z47" s="401">
        <v>261</v>
      </c>
      <c r="AA47" s="401">
        <v>395</v>
      </c>
    </row>
    <row r="48" spans="1:27" ht="18">
      <c r="A48" s="222">
        <f>+A46+A38+A32</f>
        <v>20635</v>
      </c>
      <c r="B48" s="224">
        <f>+B46+B38+B32</f>
        <v>22662</v>
      </c>
      <c r="C48" s="224">
        <f>+C46+C38+C32</f>
        <v>2027</v>
      </c>
      <c r="D48" s="224">
        <f>+D46+D38+D32</f>
        <v>22152</v>
      </c>
      <c r="E48" s="224"/>
      <c r="F48" s="224" t="s">
        <v>328</v>
      </c>
      <c r="G48" s="445"/>
      <c r="H48" s="224">
        <f>+H46+H38+H32</f>
        <v>241831.46</v>
      </c>
      <c r="I48" s="224">
        <f>+I46+I38+I32</f>
        <v>251891.48400000003</v>
      </c>
      <c r="J48" s="445">
        <f>+J46+J38+J32</f>
        <v>10060.024</v>
      </c>
      <c r="K48" s="404">
        <f>+K46+K38+K32</f>
        <v>238915</v>
      </c>
      <c r="L48" s="449"/>
      <c r="M48" s="446">
        <f>+M46+M38+M32</f>
        <v>241831.312</v>
      </c>
      <c r="N48" s="441"/>
      <c r="O48" s="196">
        <v>165452.5</v>
      </c>
      <c r="P48" s="224">
        <v>170241</v>
      </c>
      <c r="Q48" s="450" t="e">
        <f>+Q46+Q38+Q32</f>
        <v>#REF!</v>
      </c>
      <c r="W48" s="196">
        <v>198</v>
      </c>
      <c r="X48" s="401" t="s">
        <v>329</v>
      </c>
      <c r="Y48" s="401"/>
      <c r="Z48" s="401">
        <v>1825</v>
      </c>
      <c r="AA48" s="401">
        <v>1906</v>
      </c>
    </row>
    <row r="49" spans="1:27" ht="18">
      <c r="A49" s="448"/>
      <c r="B49" s="401"/>
      <c r="C49" s="401"/>
      <c r="D49" s="208"/>
      <c r="E49" s="401"/>
      <c r="F49" s="401"/>
      <c r="G49" s="205"/>
      <c r="H49" s="208"/>
      <c r="I49" s="401"/>
      <c r="J49" s="205"/>
      <c r="K49" s="442"/>
      <c r="M49" s="223"/>
      <c r="N49" s="441"/>
      <c r="P49" s="401"/>
      <c r="Q49" s="442"/>
      <c r="W49" s="196">
        <v>1954</v>
      </c>
      <c r="X49" s="401" t="s">
        <v>330</v>
      </c>
      <c r="Y49" s="401"/>
      <c r="Z49" s="401">
        <v>4429</v>
      </c>
      <c r="AA49" s="401">
        <v>5598</v>
      </c>
    </row>
    <row r="50" spans="1:30" ht="18">
      <c r="A50" s="398">
        <v>852</v>
      </c>
      <c r="B50" s="401">
        <f>586+29</f>
        <v>615</v>
      </c>
      <c r="C50" s="401">
        <f>+B50-A50</f>
        <v>-237</v>
      </c>
      <c r="D50" s="401">
        <v>726</v>
      </c>
      <c r="E50" s="401"/>
      <c r="F50" s="401" t="s">
        <v>331</v>
      </c>
      <c r="G50" s="205"/>
      <c r="H50" s="208">
        <v>10107.47</v>
      </c>
      <c r="I50" s="401">
        <f>10798+29</f>
        <v>10827</v>
      </c>
      <c r="J50" s="401">
        <f aca="true" t="shared" si="3" ref="J50:J56">+I50-H50</f>
        <v>719.5300000000007</v>
      </c>
      <c r="K50" s="143">
        <v>13605</v>
      </c>
      <c r="M50" s="223">
        <v>10107.47</v>
      </c>
      <c r="N50" s="441"/>
      <c r="O50" s="196">
        <v>4502.5</v>
      </c>
      <c r="P50" s="401">
        <v>5625</v>
      </c>
      <c r="Q50" s="442" t="e">
        <f>#REF!+K50</f>
        <v>#REF!</v>
      </c>
      <c r="V50" s="401">
        <v>6710</v>
      </c>
      <c r="W50" s="214">
        <v>56</v>
      </c>
      <c r="X50" s="401" t="s">
        <v>332</v>
      </c>
      <c r="Y50" s="401"/>
      <c r="Z50" s="401">
        <v>527.6</v>
      </c>
      <c r="AA50" s="401">
        <v>696</v>
      </c>
      <c r="AC50" s="442">
        <v>5299</v>
      </c>
      <c r="AD50" s="196">
        <f aca="true" t="shared" si="4" ref="AD50:AD56">AC50/11</f>
        <v>481.72727272727275</v>
      </c>
    </row>
    <row r="51" spans="1:30" ht="18">
      <c r="A51" s="398">
        <v>54</v>
      </c>
      <c r="B51" s="401">
        <v>72</v>
      </c>
      <c r="C51" s="401">
        <f aca="true" t="shared" si="5" ref="C51:C56">+B51-A51</f>
        <v>18</v>
      </c>
      <c r="D51" s="401">
        <v>70</v>
      </c>
      <c r="E51" s="401"/>
      <c r="F51" s="401" t="s">
        <v>332</v>
      </c>
      <c r="G51" s="205"/>
      <c r="H51" s="208">
        <v>648</v>
      </c>
      <c r="I51" s="401">
        <v>844</v>
      </c>
      <c r="J51" s="401">
        <f t="shared" si="3"/>
        <v>196</v>
      </c>
      <c r="K51" s="143">
        <v>742</v>
      </c>
      <c r="M51" s="223">
        <v>648</v>
      </c>
      <c r="N51" s="441"/>
      <c r="O51" s="196">
        <v>598.3333333333334</v>
      </c>
      <c r="P51" s="401">
        <v>619</v>
      </c>
      <c r="Q51" s="442" t="e">
        <f>#REF!+K51</f>
        <v>#REF!</v>
      </c>
      <c r="V51" s="401">
        <v>681</v>
      </c>
      <c r="W51" s="214">
        <v>-756</v>
      </c>
      <c r="X51" s="401" t="s">
        <v>333</v>
      </c>
      <c r="Y51" s="401"/>
      <c r="Z51" s="401">
        <v>2239.6</v>
      </c>
      <c r="AA51" s="401">
        <f>-202924+205749</f>
        <v>2825</v>
      </c>
      <c r="AC51" s="442">
        <v>640</v>
      </c>
      <c r="AD51" s="196">
        <f t="shared" si="4"/>
        <v>58.18181818181818</v>
      </c>
    </row>
    <row r="52" spans="1:30" ht="18">
      <c r="A52" s="398">
        <v>42</v>
      </c>
      <c r="B52" s="401">
        <v>41</v>
      </c>
      <c r="C52" s="401">
        <f t="shared" si="5"/>
        <v>-1</v>
      </c>
      <c r="D52" s="401">
        <v>55</v>
      </c>
      <c r="E52" s="401"/>
      <c r="F52" s="401" t="s">
        <v>334</v>
      </c>
      <c r="G52" s="205"/>
      <c r="H52" s="208">
        <v>508.064</v>
      </c>
      <c r="I52" s="401">
        <v>499</v>
      </c>
      <c r="J52" s="401">
        <f t="shared" si="3"/>
        <v>-9.064000000000021</v>
      </c>
      <c r="K52" s="143">
        <v>534</v>
      </c>
      <c r="M52" s="223">
        <v>508.064</v>
      </c>
      <c r="N52" s="441"/>
      <c r="O52" s="196">
        <v>287.5</v>
      </c>
      <c r="P52" s="401">
        <v>264</v>
      </c>
      <c r="Q52" s="442" t="e">
        <f>#REF!+K52</f>
        <v>#REF!</v>
      </c>
      <c r="V52" s="401">
        <v>285</v>
      </c>
      <c r="W52" s="214"/>
      <c r="AA52" s="214">
        <f>SUM(AA40:AA51)</f>
        <v>21121</v>
      </c>
      <c r="AC52" s="442">
        <v>380</v>
      </c>
      <c r="AD52" s="196">
        <f t="shared" si="4"/>
        <v>34.54545454545455</v>
      </c>
    </row>
    <row r="53" spans="1:30" ht="18">
      <c r="A53" s="398">
        <v>64</v>
      </c>
      <c r="B53" s="401">
        <v>37</v>
      </c>
      <c r="C53" s="401">
        <f t="shared" si="5"/>
        <v>-27</v>
      </c>
      <c r="D53" s="401">
        <v>75</v>
      </c>
      <c r="E53" s="401"/>
      <c r="F53" s="401" t="s">
        <v>335</v>
      </c>
      <c r="G53" s="205"/>
      <c r="H53" s="208">
        <v>769.507</v>
      </c>
      <c r="I53" s="401">
        <v>613</v>
      </c>
      <c r="J53" s="401">
        <f t="shared" si="3"/>
        <v>-156.50699999999995</v>
      </c>
      <c r="K53" s="143">
        <v>662</v>
      </c>
      <c r="M53" s="223">
        <v>769.507</v>
      </c>
      <c r="O53" s="196">
        <v>985</v>
      </c>
      <c r="P53" s="401">
        <v>1441</v>
      </c>
      <c r="Q53" s="442" t="e">
        <f>#REF!+K53</f>
        <v>#REF!</v>
      </c>
      <c r="V53" s="401">
        <v>1636</v>
      </c>
      <c r="W53" s="214"/>
      <c r="AA53" s="196">
        <v>2128</v>
      </c>
      <c r="AC53" s="442">
        <v>1234</v>
      </c>
      <c r="AD53" s="196">
        <f t="shared" si="4"/>
        <v>112.18181818181819</v>
      </c>
    </row>
    <row r="54" spans="1:30" ht="18">
      <c r="A54" s="398">
        <v>131</v>
      </c>
      <c r="B54" s="401">
        <v>287</v>
      </c>
      <c r="C54" s="401">
        <f t="shared" si="5"/>
        <v>156</v>
      </c>
      <c r="D54" s="401">
        <v>247</v>
      </c>
      <c r="E54" s="401"/>
      <c r="F54" s="401" t="s">
        <v>336</v>
      </c>
      <c r="G54" s="205"/>
      <c r="H54" s="208">
        <v>1578.285</v>
      </c>
      <c r="I54" s="401">
        <v>1547</v>
      </c>
      <c r="J54" s="401">
        <f t="shared" si="3"/>
        <v>-31.285000000000082</v>
      </c>
      <c r="K54" s="143">
        <v>1660</v>
      </c>
      <c r="M54" s="223">
        <v>1578.285</v>
      </c>
      <c r="O54" s="196">
        <v>441.66666666666663</v>
      </c>
      <c r="P54" s="401">
        <v>555</v>
      </c>
      <c r="Q54" s="442" t="e">
        <f>#REF!+K54</f>
        <v>#REF!</v>
      </c>
      <c r="V54" s="401">
        <v>627</v>
      </c>
      <c r="W54" s="214"/>
      <c r="AA54" s="214">
        <f>SUM(AA52:AA53)</f>
        <v>23249</v>
      </c>
      <c r="AC54" s="442">
        <v>292</v>
      </c>
      <c r="AD54" s="196">
        <f t="shared" si="4"/>
        <v>26.545454545454547</v>
      </c>
    </row>
    <row r="55" spans="1:30" ht="18">
      <c r="A55" s="398">
        <v>316</v>
      </c>
      <c r="B55" s="401">
        <v>523</v>
      </c>
      <c r="C55" s="401">
        <f t="shared" si="5"/>
        <v>207</v>
      </c>
      <c r="D55" s="401">
        <v>411</v>
      </c>
      <c r="E55" s="401"/>
      <c r="F55" s="401" t="s">
        <v>337</v>
      </c>
      <c r="G55" s="205"/>
      <c r="H55" s="208">
        <v>3798.607</v>
      </c>
      <c r="I55" s="401">
        <v>4055</v>
      </c>
      <c r="J55" s="401">
        <f t="shared" si="3"/>
        <v>256.39300000000003</v>
      </c>
      <c r="K55" s="143">
        <v>3913</v>
      </c>
      <c r="M55" s="223">
        <v>3798.607</v>
      </c>
      <c r="O55" s="196">
        <v>3758.333333333333</v>
      </c>
      <c r="P55" s="401">
        <v>4002</v>
      </c>
      <c r="Q55" s="442" t="e">
        <f>#REF!+K55</f>
        <v>#REF!</v>
      </c>
      <c r="V55" s="401">
        <v>4525</v>
      </c>
      <c r="W55" s="214"/>
      <c r="AC55" s="442">
        <v>4080</v>
      </c>
      <c r="AD55" s="196">
        <f t="shared" si="4"/>
        <v>370.90909090909093</v>
      </c>
    </row>
    <row r="56" spans="1:30" ht="18">
      <c r="A56" s="398">
        <v>222</v>
      </c>
      <c r="B56" s="401">
        <v>258</v>
      </c>
      <c r="C56" s="401">
        <f t="shared" si="5"/>
        <v>36</v>
      </c>
      <c r="D56" s="401">
        <v>442</v>
      </c>
      <c r="E56" s="401"/>
      <c r="F56" s="401" t="s">
        <v>338</v>
      </c>
      <c r="G56" s="205"/>
      <c r="H56" s="208">
        <v>2642.031</v>
      </c>
      <c r="I56" s="401">
        <v>2704</v>
      </c>
      <c r="J56" s="401">
        <f t="shared" si="3"/>
        <v>61.96900000000005</v>
      </c>
      <c r="K56" s="143">
        <v>2851</v>
      </c>
      <c r="M56" s="223">
        <v>2642.031</v>
      </c>
      <c r="O56" s="196">
        <v>2888.833333333333</v>
      </c>
      <c r="P56" s="401">
        <v>2365</v>
      </c>
      <c r="Q56" s="442" t="e">
        <f>#REF!+K56</f>
        <v>#REF!</v>
      </c>
      <c r="V56" s="401">
        <v>2655</v>
      </c>
      <c r="W56" s="214"/>
      <c r="AC56" s="442">
        <f>4850+389</f>
        <v>5239</v>
      </c>
      <c r="AD56" s="196">
        <f t="shared" si="4"/>
        <v>476.27272727272725</v>
      </c>
    </row>
    <row r="57" spans="1:17" ht="18">
      <c r="A57" s="451"/>
      <c r="B57" s="401"/>
      <c r="C57" s="401"/>
      <c r="D57" s="208"/>
      <c r="E57" s="401"/>
      <c r="F57" s="401"/>
      <c r="G57" s="205"/>
      <c r="H57" s="208"/>
      <c r="I57" s="401"/>
      <c r="J57" s="205"/>
      <c r="K57" s="442"/>
      <c r="M57" s="223"/>
      <c r="P57" s="401"/>
      <c r="Q57" s="442"/>
    </row>
    <row r="58" spans="1:17" ht="18">
      <c r="A58" s="222">
        <f>SUM(A50:A57)</f>
        <v>1681</v>
      </c>
      <c r="B58" s="224">
        <f>SUM(B50:B57)</f>
        <v>1833</v>
      </c>
      <c r="C58" s="224">
        <f>SUM(C50:C56)</f>
        <v>152</v>
      </c>
      <c r="D58" s="224">
        <f>SUM(D50:D56)</f>
        <v>2026</v>
      </c>
      <c r="E58" s="224"/>
      <c r="F58" s="224" t="s">
        <v>339</v>
      </c>
      <c r="G58" s="445"/>
      <c r="H58" s="224">
        <f>SUM(H50:H57)</f>
        <v>20051.963999999996</v>
      </c>
      <c r="I58" s="224">
        <f>SUM(I50:I57)</f>
        <v>21089</v>
      </c>
      <c r="J58" s="445">
        <f>SUM(J50:J57)</f>
        <v>1037.0360000000005</v>
      </c>
      <c r="K58" s="404">
        <f>SUM(K50:K56)</f>
        <v>23967</v>
      </c>
      <c r="M58" s="446">
        <f>SUM(M50:M57)</f>
        <v>20051.963999999996</v>
      </c>
      <c r="O58" s="196">
        <v>13462.166666666664</v>
      </c>
      <c r="P58" s="224">
        <v>14871</v>
      </c>
      <c r="Q58" s="404" t="e">
        <f>SUM(Q50:Q56)</f>
        <v>#REF!</v>
      </c>
    </row>
    <row r="59" spans="1:17" ht="18">
      <c r="A59" s="448"/>
      <c r="B59" s="401"/>
      <c r="C59" s="401"/>
      <c r="D59" s="208"/>
      <c r="E59" s="401"/>
      <c r="F59" s="401"/>
      <c r="G59" s="205"/>
      <c r="H59" s="215"/>
      <c r="I59" s="401"/>
      <c r="J59" s="205"/>
      <c r="K59" s="473"/>
      <c r="M59" s="223"/>
      <c r="P59" s="401"/>
      <c r="Q59" s="442"/>
    </row>
    <row r="60" spans="1:17" ht="18.75" thickBot="1">
      <c r="A60" s="458">
        <f>+A58+A48</f>
        <v>22316</v>
      </c>
      <c r="B60" s="452">
        <f>+B58+B48</f>
        <v>24495</v>
      </c>
      <c r="C60" s="452">
        <f>+C58+C48</f>
        <v>2179</v>
      </c>
      <c r="D60" s="452">
        <f>+D58+D48</f>
        <v>24178</v>
      </c>
      <c r="E60" s="452"/>
      <c r="F60" s="452" t="s">
        <v>340</v>
      </c>
      <c r="G60" s="459"/>
      <c r="H60" s="452">
        <f>+H58+H48</f>
        <v>261883.424</v>
      </c>
      <c r="I60" s="452">
        <f>+I58+I48</f>
        <v>272980.48400000005</v>
      </c>
      <c r="J60" s="459">
        <f>+J58+J48</f>
        <v>11097.06</v>
      </c>
      <c r="K60" s="453">
        <f>+K58+K48</f>
        <v>262882</v>
      </c>
      <c r="M60" s="460">
        <f>+M58+M48</f>
        <v>261883.276</v>
      </c>
      <c r="O60" s="196">
        <v>178914.6666666667</v>
      </c>
      <c r="P60" s="452">
        <v>185112</v>
      </c>
      <c r="Q60" s="453" t="e">
        <f>+Q58+Q48</f>
        <v>#REF!</v>
      </c>
    </row>
    <row r="61" spans="8:9" ht="18.75" thickTop="1">
      <c r="H61" s="214"/>
      <c r="I61" s="214"/>
    </row>
    <row r="62" spans="4:11" ht="18">
      <c r="D62" s="214"/>
      <c r="E62" s="214"/>
      <c r="F62" s="214"/>
      <c r="G62" s="214"/>
      <c r="H62" s="214"/>
      <c r="I62" s="214"/>
      <c r="J62" s="214"/>
      <c r="K62" s="214"/>
    </row>
  </sheetData>
  <mergeCells count="4">
    <mergeCell ref="D2:L2"/>
    <mergeCell ref="D3:L3"/>
    <mergeCell ref="A5:D5"/>
    <mergeCell ref="H5:K5"/>
  </mergeCells>
  <printOptions/>
  <pageMargins left="0.43" right="0.24" top="0.49" bottom="0.51" header="0.47" footer="0.5"/>
  <pageSetup fitToHeight="1" fitToWidth="1" horizontalDpi="300" verticalDpi="3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843"/>
  <sheetViews>
    <sheetView view="pageBreakPreview" zoomScaleSheetLayoutView="100" workbookViewId="0" topLeftCell="A1">
      <selection activeCell="P15" sqref="P15"/>
    </sheetView>
  </sheetViews>
  <sheetFormatPr defaultColWidth="9.140625" defaultRowHeight="12.75"/>
  <cols>
    <col min="1" max="1" width="26.8515625" style="21" customWidth="1"/>
    <col min="2" max="2" width="1.7109375" style="44" customWidth="1"/>
    <col min="3" max="3" width="8.7109375" style="45" customWidth="1"/>
    <col min="4" max="4" width="1.7109375" style="44" customWidth="1"/>
    <col min="5" max="16" width="8.7109375" style="45" customWidth="1"/>
    <col min="17" max="17" width="1.7109375" style="45" customWidth="1"/>
    <col min="18" max="18" width="9.8515625" style="45" customWidth="1"/>
    <col min="19" max="19" width="0.9921875" style="45" hidden="1" customWidth="1"/>
    <col min="20" max="20" width="15.7109375" style="45" hidden="1" customWidth="1"/>
    <col min="21" max="21" width="1.7109375" style="21" customWidth="1"/>
    <col min="22" max="23" width="8.7109375" style="21" customWidth="1"/>
    <col min="24" max="27" width="8.7109375" style="89" customWidth="1"/>
    <col min="28" max="28" width="8.7109375" style="21" customWidth="1"/>
    <col min="30" max="30" width="7.00390625" style="90" customWidth="1"/>
    <col min="31" max="31" width="7.00390625" style="18" customWidth="1"/>
    <col min="32" max="32" width="34.7109375" style="18" customWidth="1"/>
    <col min="33" max="16384" width="7.00390625" style="18" customWidth="1"/>
  </cols>
  <sheetData>
    <row r="1" spans="1:30" s="10" customFormat="1" ht="23.25">
      <c r="A1" s="152" t="s">
        <v>102</v>
      </c>
      <c r="B1" s="153"/>
      <c r="C1" s="81"/>
      <c r="D1" s="153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555" t="s">
        <v>176</v>
      </c>
      <c r="Q1" s="556"/>
      <c r="R1" s="556"/>
      <c r="S1" s="81"/>
      <c r="T1" s="81"/>
      <c r="U1" s="9"/>
      <c r="V1" s="9"/>
      <c r="W1" s="9"/>
      <c r="X1" s="154"/>
      <c r="Y1" s="154"/>
      <c r="Z1" s="154"/>
      <c r="AA1" s="154"/>
      <c r="AB1" s="9"/>
      <c r="AD1" s="94"/>
    </row>
    <row r="2" spans="1:30" s="10" customFormat="1" ht="23.25">
      <c r="A2" s="152" t="s">
        <v>177</v>
      </c>
      <c r="B2" s="153"/>
      <c r="D2" s="153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9"/>
      <c r="V2" s="9"/>
      <c r="W2" s="9"/>
      <c r="X2" s="154"/>
      <c r="Y2" s="154"/>
      <c r="Z2" s="154"/>
      <c r="AA2" s="154"/>
      <c r="AB2" s="9"/>
      <c r="AD2" s="94"/>
    </row>
    <row r="3" ht="16.5" thickBot="1">
      <c r="AB3" s="155">
        <v>12</v>
      </c>
    </row>
    <row r="4" spans="1:28" ht="63">
      <c r="A4" s="156" t="s">
        <v>178</v>
      </c>
      <c r="B4" s="25"/>
      <c r="C4" s="24" t="s">
        <v>134</v>
      </c>
      <c r="D4" s="25"/>
      <c r="E4" s="27" t="s">
        <v>158</v>
      </c>
      <c r="F4" s="28" t="s">
        <v>159</v>
      </c>
      <c r="G4" s="28" t="s">
        <v>160</v>
      </c>
      <c r="H4" s="28" t="s">
        <v>161</v>
      </c>
      <c r="I4" s="28" t="s">
        <v>162</v>
      </c>
      <c r="J4" s="28" t="s">
        <v>163</v>
      </c>
      <c r="K4" s="28" t="s">
        <v>164</v>
      </c>
      <c r="L4" s="28" t="s">
        <v>165</v>
      </c>
      <c r="M4" s="28" t="s">
        <v>166</v>
      </c>
      <c r="N4" s="28" t="s">
        <v>167</v>
      </c>
      <c r="O4" s="28" t="s">
        <v>168</v>
      </c>
      <c r="P4" s="29" t="s">
        <v>179</v>
      </c>
      <c r="Q4" s="26"/>
      <c r="R4" s="24" t="s">
        <v>169</v>
      </c>
      <c r="S4" s="26"/>
      <c r="T4" s="46" t="s">
        <v>133</v>
      </c>
      <c r="V4" s="147" t="s">
        <v>170</v>
      </c>
      <c r="W4" s="95" t="s">
        <v>171</v>
      </c>
      <c r="X4" s="148" t="s">
        <v>173</v>
      </c>
      <c r="Y4" s="148" t="s">
        <v>181</v>
      </c>
      <c r="Z4" s="148" t="s">
        <v>184</v>
      </c>
      <c r="AA4" s="148" t="s">
        <v>186</v>
      </c>
      <c r="AB4" s="95" t="s">
        <v>172</v>
      </c>
    </row>
    <row r="5" spans="1:30" ht="16.5" thickBot="1">
      <c r="A5" s="157"/>
      <c r="B5" s="31"/>
      <c r="C5" s="30" t="s">
        <v>0</v>
      </c>
      <c r="D5" s="31"/>
      <c r="E5" s="33" t="s">
        <v>0</v>
      </c>
      <c r="F5" s="34" t="s">
        <v>0</v>
      </c>
      <c r="G5" s="34" t="s">
        <v>0</v>
      </c>
      <c r="H5" s="34" t="s">
        <v>0</v>
      </c>
      <c r="I5" s="34" t="s">
        <v>0</v>
      </c>
      <c r="J5" s="34" t="s">
        <v>0</v>
      </c>
      <c r="K5" s="34" t="s">
        <v>0</v>
      </c>
      <c r="L5" s="34" t="s">
        <v>0</v>
      </c>
      <c r="M5" s="34" t="s">
        <v>0</v>
      </c>
      <c r="N5" s="34" t="s">
        <v>0</v>
      </c>
      <c r="O5" s="34" t="s">
        <v>0</v>
      </c>
      <c r="P5" s="35" t="s">
        <v>0</v>
      </c>
      <c r="Q5" s="32"/>
      <c r="R5" s="30" t="s">
        <v>0</v>
      </c>
      <c r="S5" s="32"/>
      <c r="T5" s="30" t="s">
        <v>0</v>
      </c>
      <c r="V5" s="149" t="s">
        <v>0</v>
      </c>
      <c r="W5" s="30" t="s">
        <v>0</v>
      </c>
      <c r="X5" s="35" t="s">
        <v>0</v>
      </c>
      <c r="Y5" s="35" t="s">
        <v>0</v>
      </c>
      <c r="Z5" s="35" t="s">
        <v>0</v>
      </c>
      <c r="AA5" s="35" t="s">
        <v>0</v>
      </c>
      <c r="AB5" s="30" t="s">
        <v>0</v>
      </c>
      <c r="AD5" s="91"/>
    </row>
    <row r="6" spans="1:28" ht="15.75">
      <c r="A6" s="158"/>
      <c r="C6" s="36"/>
      <c r="E6" s="37"/>
      <c r="F6" s="22"/>
      <c r="G6" s="22"/>
      <c r="H6" s="22"/>
      <c r="I6" s="22"/>
      <c r="J6" s="22"/>
      <c r="K6" s="22"/>
      <c r="L6" s="22"/>
      <c r="M6" s="22"/>
      <c r="N6" s="22"/>
      <c r="O6" s="22"/>
      <c r="P6" s="38"/>
      <c r="R6" s="36"/>
      <c r="T6" s="36"/>
      <c r="V6" s="159"/>
      <c r="W6" s="19"/>
      <c r="X6" s="160"/>
      <c r="Y6" s="160"/>
      <c r="Z6" s="165"/>
      <c r="AA6" s="165"/>
      <c r="AB6" s="20"/>
    </row>
    <row r="7" spans="1:33" ht="15.75">
      <c r="A7" s="161" t="s">
        <v>135</v>
      </c>
      <c r="B7" s="83"/>
      <c r="C7" s="84">
        <v>-47599</v>
      </c>
      <c r="D7" s="83"/>
      <c r="E7" s="85">
        <v>-4066</v>
      </c>
      <c r="F7" s="86">
        <v>-4041</v>
      </c>
      <c r="G7" s="86">
        <v>-4195</v>
      </c>
      <c r="H7" s="86">
        <v>-4135</v>
      </c>
      <c r="I7" s="86">
        <v>-4230</v>
      </c>
      <c r="J7" s="86">
        <v>-4280</v>
      </c>
      <c r="K7" s="86">
        <v>-4274</v>
      </c>
      <c r="L7" s="86">
        <f>29221-33547</f>
        <v>-4326</v>
      </c>
      <c r="M7" s="86">
        <f>33547-37835</f>
        <v>-4288</v>
      </c>
      <c r="N7" s="86">
        <f>37835-42267</f>
        <v>-4432</v>
      </c>
      <c r="O7" s="86">
        <f>42267-46574</f>
        <v>-4307</v>
      </c>
      <c r="P7" s="87">
        <f>46574-51069-7</f>
        <v>-4502</v>
      </c>
      <c r="Q7" s="88"/>
      <c r="R7" s="84">
        <f aca="true" t="shared" si="0" ref="R7:R16">SUM(E7:Q7)</f>
        <v>-51076</v>
      </c>
      <c r="S7" s="88"/>
      <c r="T7" s="84">
        <f aca="true" t="shared" si="1" ref="T7:T24">+R7*6</f>
        <v>-306456</v>
      </c>
      <c r="U7" s="82"/>
      <c r="V7" s="162">
        <v>-4310</v>
      </c>
      <c r="W7" s="150">
        <f aca="true" t="shared" si="2" ref="W7:W16">+C7/12</f>
        <v>-3966.5833333333335</v>
      </c>
      <c r="X7" s="87">
        <f aca="true" t="shared" si="3" ref="X7:X16">(+E7+F7+G7)/3</f>
        <v>-4100.666666666667</v>
      </c>
      <c r="Y7" s="87">
        <f>(+H7+I7+J7)/3</f>
        <v>-4215</v>
      </c>
      <c r="Z7" s="87">
        <f aca="true" t="shared" si="4" ref="Z7:Z16">(+K7+L7+M7)/3</f>
        <v>-4296</v>
      </c>
      <c r="AA7" s="87">
        <f aca="true" t="shared" si="5" ref="AA7:AA15">SUM(N7:P7)/3</f>
        <v>-4413.666666666667</v>
      </c>
      <c r="AB7" s="150">
        <f aca="true" t="shared" si="6" ref="AB7:AB16">+R7/$AB$3</f>
        <v>-4256.333333333333</v>
      </c>
      <c r="AD7" s="92"/>
      <c r="AF7" s="93"/>
      <c r="AG7" s="85">
        <f aca="true" t="shared" si="7" ref="AG7:AG24">V7*-1</f>
        <v>4310</v>
      </c>
    </row>
    <row r="8" spans="1:33" ht="15.75">
      <c r="A8" s="158" t="s">
        <v>136</v>
      </c>
      <c r="C8" s="36">
        <v>-49224</v>
      </c>
      <c r="E8" s="37">
        <v>-4212</v>
      </c>
      <c r="F8" s="22">
        <v>-4288</v>
      </c>
      <c r="G8" s="22">
        <v>-4177</v>
      </c>
      <c r="H8" s="22">
        <v>-4261</v>
      </c>
      <c r="I8" s="86">
        <v>-4175</v>
      </c>
      <c r="J8" s="22">
        <v>-4176</v>
      </c>
      <c r="K8" s="22">
        <v>-4369</v>
      </c>
      <c r="L8" s="22">
        <f>29658-33946</f>
        <v>-4288</v>
      </c>
      <c r="M8" s="22">
        <f>33946-38062</f>
        <v>-4116</v>
      </c>
      <c r="N8" s="22">
        <f>38062-42508</f>
        <v>-4446</v>
      </c>
      <c r="O8" s="22">
        <f>42508-46713</f>
        <v>-4205</v>
      </c>
      <c r="P8" s="38">
        <f>46713-51342+7</f>
        <v>-4622</v>
      </c>
      <c r="R8" s="36">
        <f t="shared" si="0"/>
        <v>-51335</v>
      </c>
      <c r="T8" s="36">
        <f t="shared" si="1"/>
        <v>-308010</v>
      </c>
      <c r="V8" s="163">
        <v>-4246</v>
      </c>
      <c r="W8" s="150">
        <f t="shared" si="2"/>
        <v>-4102</v>
      </c>
      <c r="X8" s="87">
        <f t="shared" si="3"/>
        <v>-4225.666666666667</v>
      </c>
      <c r="Y8" s="87">
        <f aca="true" t="shared" si="8" ref="Y8:Y24">(+H8+I8+J8)/3</f>
        <v>-4204</v>
      </c>
      <c r="Z8" s="87">
        <f t="shared" si="4"/>
        <v>-4257.666666666667</v>
      </c>
      <c r="AA8" s="87">
        <f t="shared" si="5"/>
        <v>-4424.333333333333</v>
      </c>
      <c r="AB8" s="150">
        <f t="shared" si="6"/>
        <v>-4277.916666666667</v>
      </c>
      <c r="AG8" s="85">
        <f t="shared" si="7"/>
        <v>4246</v>
      </c>
    </row>
    <row r="9" spans="1:33" ht="15.75">
      <c r="A9" s="161" t="s">
        <v>137</v>
      </c>
      <c r="B9" s="83"/>
      <c r="C9" s="84">
        <v>-13271</v>
      </c>
      <c r="D9" s="83"/>
      <c r="E9" s="85">
        <v>-1119</v>
      </c>
      <c r="F9" s="86">
        <v>-1095</v>
      </c>
      <c r="G9" s="86">
        <v>-1154</v>
      </c>
      <c r="H9" s="86">
        <v>-1123</v>
      </c>
      <c r="I9" s="86">
        <v>-1115</v>
      </c>
      <c r="J9" s="86">
        <v>-1120</v>
      </c>
      <c r="K9" s="86">
        <v>-1105</v>
      </c>
      <c r="L9" s="86">
        <f>7831-8970</f>
        <v>-1139</v>
      </c>
      <c r="M9" s="86">
        <f>8970-10118</f>
        <v>-1148</v>
      </c>
      <c r="N9" s="86">
        <f>10118-11211</f>
        <v>-1093</v>
      </c>
      <c r="O9" s="86">
        <f>11211-12344</f>
        <v>-1133</v>
      </c>
      <c r="P9" s="87">
        <f>12344-13503</f>
        <v>-1159</v>
      </c>
      <c r="Q9" s="88"/>
      <c r="R9" s="84">
        <f t="shared" si="0"/>
        <v>-13503</v>
      </c>
      <c r="S9" s="88"/>
      <c r="T9" s="84">
        <f t="shared" si="1"/>
        <v>-81018</v>
      </c>
      <c r="U9" s="82"/>
      <c r="V9" s="162">
        <v>-1133</v>
      </c>
      <c r="W9" s="150">
        <f t="shared" si="2"/>
        <v>-1105.9166666666667</v>
      </c>
      <c r="X9" s="87">
        <f t="shared" si="3"/>
        <v>-1122.6666666666667</v>
      </c>
      <c r="Y9" s="87">
        <f t="shared" si="8"/>
        <v>-1119.3333333333333</v>
      </c>
      <c r="Z9" s="87">
        <f t="shared" si="4"/>
        <v>-1130.6666666666667</v>
      </c>
      <c r="AA9" s="87">
        <f t="shared" si="5"/>
        <v>-1128.3333333333333</v>
      </c>
      <c r="AB9" s="150">
        <f t="shared" si="6"/>
        <v>-1125.25</v>
      </c>
      <c r="AD9" s="92"/>
      <c r="AF9" s="93"/>
      <c r="AG9" s="85">
        <f t="shared" si="7"/>
        <v>1133</v>
      </c>
    </row>
    <row r="10" spans="1:33" ht="15.75">
      <c r="A10" s="158" t="s">
        <v>138</v>
      </c>
      <c r="C10" s="36">
        <v>-8174</v>
      </c>
      <c r="E10" s="37">
        <v>-694</v>
      </c>
      <c r="F10" s="22">
        <v>-714</v>
      </c>
      <c r="G10" s="22">
        <v>-712</v>
      </c>
      <c r="H10" s="22">
        <v>-663</v>
      </c>
      <c r="I10" s="86">
        <v>-680</v>
      </c>
      <c r="J10" s="22">
        <v>-694</v>
      </c>
      <c r="K10" s="22">
        <v>-696</v>
      </c>
      <c r="L10" s="22">
        <f>4853-5573</f>
        <v>-720</v>
      </c>
      <c r="M10" s="22">
        <f>5573-6261</f>
        <v>-688</v>
      </c>
      <c r="N10" s="22">
        <f>6261-7028</f>
        <v>-767</v>
      </c>
      <c r="O10" s="22">
        <f>7028-7721</f>
        <v>-693</v>
      </c>
      <c r="P10" s="38">
        <f>7721-8450+2</f>
        <v>-727</v>
      </c>
      <c r="R10" s="36">
        <f t="shared" si="0"/>
        <v>-8448</v>
      </c>
      <c r="T10" s="36">
        <f t="shared" si="1"/>
        <v>-50688</v>
      </c>
      <c r="V10" s="163">
        <v>-733</v>
      </c>
      <c r="W10" s="150">
        <f t="shared" si="2"/>
        <v>-681.1666666666666</v>
      </c>
      <c r="X10" s="87">
        <f t="shared" si="3"/>
        <v>-706.6666666666666</v>
      </c>
      <c r="Y10" s="87">
        <f t="shared" si="8"/>
        <v>-679</v>
      </c>
      <c r="Z10" s="87">
        <f t="shared" si="4"/>
        <v>-701.3333333333334</v>
      </c>
      <c r="AA10" s="87">
        <f t="shared" si="5"/>
        <v>-729</v>
      </c>
      <c r="AB10" s="150">
        <f t="shared" si="6"/>
        <v>-704</v>
      </c>
      <c r="AD10" s="94"/>
      <c r="AG10" s="85">
        <f t="shared" si="7"/>
        <v>733</v>
      </c>
    </row>
    <row r="11" spans="1:33" ht="15.75">
      <c r="A11" s="158" t="s">
        <v>139</v>
      </c>
      <c r="C11" s="36">
        <v>-8720</v>
      </c>
      <c r="E11" s="37">
        <v>-695.8</v>
      </c>
      <c r="F11" s="22">
        <v>-729</v>
      </c>
      <c r="G11" s="22">
        <v>-719</v>
      </c>
      <c r="H11" s="22">
        <v>-747</v>
      </c>
      <c r="I11" s="86">
        <v>-755</v>
      </c>
      <c r="J11" s="22">
        <v>-735</v>
      </c>
      <c r="K11" s="22">
        <v>-783</v>
      </c>
      <c r="L11" s="22">
        <f>5164-5863</f>
        <v>-699</v>
      </c>
      <c r="M11" s="22">
        <f>5863-6598</f>
        <v>-735</v>
      </c>
      <c r="N11" s="22">
        <f>6598-7339</f>
        <v>-741</v>
      </c>
      <c r="O11" s="22">
        <f>7339-8049</f>
        <v>-710</v>
      </c>
      <c r="P11" s="38">
        <f>8049-8704</f>
        <v>-655</v>
      </c>
      <c r="R11" s="36">
        <f t="shared" si="0"/>
        <v>-8703.8</v>
      </c>
      <c r="T11" s="36">
        <f t="shared" si="1"/>
        <v>-52222.799999999996</v>
      </c>
      <c r="V11" s="163">
        <v>-654</v>
      </c>
      <c r="W11" s="150">
        <f t="shared" si="2"/>
        <v>-726.6666666666666</v>
      </c>
      <c r="X11" s="87">
        <f t="shared" si="3"/>
        <v>-714.6</v>
      </c>
      <c r="Y11" s="87">
        <f t="shared" si="8"/>
        <v>-745.6666666666666</v>
      </c>
      <c r="Z11" s="87">
        <f t="shared" si="4"/>
        <v>-739</v>
      </c>
      <c r="AA11" s="87">
        <f t="shared" si="5"/>
        <v>-702</v>
      </c>
      <c r="AB11" s="150">
        <f t="shared" si="6"/>
        <v>-725.3166666666666</v>
      </c>
      <c r="AD11" s="94"/>
      <c r="AG11" s="85">
        <f t="shared" si="7"/>
        <v>654</v>
      </c>
    </row>
    <row r="12" spans="1:33" ht="15.75">
      <c r="A12" s="161" t="s">
        <v>140</v>
      </c>
      <c r="B12" s="83"/>
      <c r="C12" s="84">
        <v>-9365</v>
      </c>
      <c r="D12" s="83"/>
      <c r="E12" s="85">
        <v>-802.7</v>
      </c>
      <c r="F12" s="86">
        <v>-792</v>
      </c>
      <c r="G12" s="86">
        <v>-814</v>
      </c>
      <c r="H12" s="86">
        <v>-810</v>
      </c>
      <c r="I12" s="86">
        <v>-820</v>
      </c>
      <c r="J12" s="86">
        <v>-806</v>
      </c>
      <c r="K12" s="86">
        <v>-827</v>
      </c>
      <c r="L12" s="86">
        <f>5672-6382</f>
        <v>-710</v>
      </c>
      <c r="M12" s="86">
        <f>6382-7092</f>
        <v>-710</v>
      </c>
      <c r="N12" s="86">
        <f>7092-7912</f>
        <v>-820</v>
      </c>
      <c r="O12" s="86">
        <f>7912-8753</f>
        <v>-841</v>
      </c>
      <c r="P12" s="87">
        <f>8753-9665</f>
        <v>-912</v>
      </c>
      <c r="Q12" s="88"/>
      <c r="R12" s="84">
        <f t="shared" si="0"/>
        <v>-9664.7</v>
      </c>
      <c r="S12" s="88"/>
      <c r="T12" s="84">
        <f t="shared" si="1"/>
        <v>-57988.200000000004</v>
      </c>
      <c r="U12" s="82"/>
      <c r="V12" s="162">
        <v>-798</v>
      </c>
      <c r="W12" s="150">
        <f t="shared" si="2"/>
        <v>-780.4166666666666</v>
      </c>
      <c r="X12" s="87">
        <f t="shared" si="3"/>
        <v>-802.9</v>
      </c>
      <c r="Y12" s="87">
        <f t="shared" si="8"/>
        <v>-812</v>
      </c>
      <c r="Z12" s="87">
        <f t="shared" si="4"/>
        <v>-749</v>
      </c>
      <c r="AA12" s="87">
        <f t="shared" si="5"/>
        <v>-857.6666666666666</v>
      </c>
      <c r="AB12" s="150">
        <f t="shared" si="6"/>
        <v>-805.3916666666668</v>
      </c>
      <c r="AD12" s="92"/>
      <c r="AF12" s="93"/>
      <c r="AG12" s="85">
        <f t="shared" si="7"/>
        <v>798</v>
      </c>
    </row>
    <row r="13" spans="1:33" ht="15.75">
      <c r="A13" s="161" t="s">
        <v>122</v>
      </c>
      <c r="B13" s="83"/>
      <c r="C13" s="84">
        <v>-13469</v>
      </c>
      <c r="D13" s="83"/>
      <c r="E13" s="85">
        <v>-1234.8</v>
      </c>
      <c r="F13" s="86">
        <v>-1210</v>
      </c>
      <c r="G13" s="86">
        <v>-1272</v>
      </c>
      <c r="H13" s="86">
        <v>-1210</v>
      </c>
      <c r="I13" s="86">
        <v>-1213</v>
      </c>
      <c r="J13" s="86">
        <v>-1139</v>
      </c>
      <c r="K13" s="86">
        <v>-1258</v>
      </c>
      <c r="L13" s="86">
        <f>8537-4789-5005</f>
        <v>-1257</v>
      </c>
      <c r="M13" s="86">
        <f>9794-5371-5591</f>
        <v>-1168</v>
      </c>
      <c r="N13" s="86">
        <f>10962-5881-6179</f>
        <v>-1098</v>
      </c>
      <c r="O13" s="86">
        <f>12060-6470-6750</f>
        <v>-1160</v>
      </c>
      <c r="P13" s="87">
        <f>13220-7264-7442</f>
        <v>-1486</v>
      </c>
      <c r="Q13" s="88"/>
      <c r="R13" s="84">
        <f t="shared" si="0"/>
        <v>-14705.8</v>
      </c>
      <c r="S13" s="88"/>
      <c r="T13" s="84">
        <f t="shared" si="1"/>
        <v>-88234.79999999999</v>
      </c>
      <c r="U13" s="82"/>
      <c r="V13" s="162">
        <v>-1362</v>
      </c>
      <c r="W13" s="150">
        <f t="shared" si="2"/>
        <v>-1122.4166666666667</v>
      </c>
      <c r="X13" s="87">
        <f t="shared" si="3"/>
        <v>-1238.9333333333334</v>
      </c>
      <c r="Y13" s="87">
        <f t="shared" si="8"/>
        <v>-1187.3333333333333</v>
      </c>
      <c r="Z13" s="87">
        <f t="shared" si="4"/>
        <v>-1227.6666666666667</v>
      </c>
      <c r="AA13" s="87">
        <f t="shared" si="5"/>
        <v>-1248</v>
      </c>
      <c r="AB13" s="150">
        <f t="shared" si="6"/>
        <v>-1225.4833333333333</v>
      </c>
      <c r="AD13" s="92"/>
      <c r="AF13" s="93"/>
      <c r="AG13" s="85">
        <f t="shared" si="7"/>
        <v>1362</v>
      </c>
    </row>
    <row r="14" spans="1:33" ht="15.75">
      <c r="A14" s="158" t="s">
        <v>3</v>
      </c>
      <c r="C14" s="36">
        <v>-2359</v>
      </c>
      <c r="E14" s="37">
        <v>-172.9</v>
      </c>
      <c r="F14" s="22">
        <v>-149</v>
      </c>
      <c r="G14" s="22">
        <v>-112</v>
      </c>
      <c r="H14" s="22">
        <v>-168</v>
      </c>
      <c r="I14" s="86">
        <v>-135</v>
      </c>
      <c r="J14" s="22">
        <v>-158</v>
      </c>
      <c r="K14" s="22">
        <v>-157</v>
      </c>
      <c r="L14" s="22">
        <f>1052-1200</f>
        <v>-148</v>
      </c>
      <c r="M14" s="22">
        <f>1200-1353</f>
        <v>-153</v>
      </c>
      <c r="N14" s="22">
        <f>1353-1579</f>
        <v>-226</v>
      </c>
      <c r="O14" s="22">
        <f>1579-1958</f>
        <v>-379</v>
      </c>
      <c r="P14" s="38">
        <f>1958-2256+3</f>
        <v>-295</v>
      </c>
      <c r="R14" s="36">
        <f t="shared" si="0"/>
        <v>-2252.9</v>
      </c>
      <c r="T14" s="36">
        <f t="shared" si="1"/>
        <v>-13517.400000000001</v>
      </c>
      <c r="V14" s="163">
        <v>-245</v>
      </c>
      <c r="W14" s="150">
        <f t="shared" si="2"/>
        <v>-196.58333333333334</v>
      </c>
      <c r="X14" s="87">
        <f t="shared" si="3"/>
        <v>-144.63333333333333</v>
      </c>
      <c r="Y14" s="87">
        <f t="shared" si="8"/>
        <v>-153.66666666666666</v>
      </c>
      <c r="Z14" s="87">
        <f t="shared" si="4"/>
        <v>-152.66666666666666</v>
      </c>
      <c r="AA14" s="87">
        <f t="shared" si="5"/>
        <v>-300</v>
      </c>
      <c r="AB14" s="150">
        <f t="shared" si="6"/>
        <v>-187.74166666666667</v>
      </c>
      <c r="AG14" s="85">
        <f t="shared" si="7"/>
        <v>245</v>
      </c>
    </row>
    <row r="15" spans="1:33" ht="15.75">
      <c r="A15" s="158" t="s">
        <v>141</v>
      </c>
      <c r="C15" s="36">
        <v>-6743</v>
      </c>
      <c r="E15" s="37">
        <v>-555.2</v>
      </c>
      <c r="F15" s="22">
        <v>-598</v>
      </c>
      <c r="G15" s="22">
        <v>-586</v>
      </c>
      <c r="H15" s="22">
        <v>-620</v>
      </c>
      <c r="I15" s="86">
        <v>-609</v>
      </c>
      <c r="J15" s="22">
        <v>-617</v>
      </c>
      <c r="K15" s="22">
        <v>-625</v>
      </c>
      <c r="L15" s="22">
        <f>4210-3140-804-820</f>
        <v>-554</v>
      </c>
      <c r="M15" s="22">
        <f>4764-3514-904-894</f>
        <v>-548</v>
      </c>
      <c r="N15" s="22">
        <f>5312-3924-1040-949</f>
        <v>-601</v>
      </c>
      <c r="O15" s="22">
        <f>5913-1033-1121-4316</f>
        <v>-557</v>
      </c>
      <c r="P15" s="38">
        <f>6470-903-1279-4736</f>
        <v>-448</v>
      </c>
      <c r="R15" s="36">
        <f t="shared" si="0"/>
        <v>-6918.2</v>
      </c>
      <c r="T15" s="36">
        <f t="shared" si="1"/>
        <v>-41509.2</v>
      </c>
      <c r="V15" s="163">
        <v>-535</v>
      </c>
      <c r="W15" s="150">
        <f t="shared" si="2"/>
        <v>-561.9166666666666</v>
      </c>
      <c r="X15" s="87">
        <f t="shared" si="3"/>
        <v>-579.7333333333333</v>
      </c>
      <c r="Y15" s="87">
        <f t="shared" si="8"/>
        <v>-615.3333333333334</v>
      </c>
      <c r="Z15" s="87">
        <f t="shared" si="4"/>
        <v>-575.6666666666666</v>
      </c>
      <c r="AA15" s="87">
        <f t="shared" si="5"/>
        <v>-535.3333333333334</v>
      </c>
      <c r="AB15" s="150">
        <f t="shared" si="6"/>
        <v>-576.5166666666667</v>
      </c>
      <c r="AD15" s="94"/>
      <c r="AG15" s="85">
        <f t="shared" si="7"/>
        <v>535</v>
      </c>
    </row>
    <row r="16" spans="1:33" ht="15.75">
      <c r="A16" s="158" t="s">
        <v>183</v>
      </c>
      <c r="C16" s="36"/>
      <c r="E16" s="37"/>
      <c r="F16" s="22"/>
      <c r="G16" s="22"/>
      <c r="H16" s="22"/>
      <c r="I16" s="86"/>
      <c r="J16" s="22"/>
      <c r="K16" s="22"/>
      <c r="L16" s="22"/>
      <c r="M16" s="22"/>
      <c r="N16" s="22"/>
      <c r="O16" s="22"/>
      <c r="P16" s="38"/>
      <c r="R16" s="36">
        <f t="shared" si="0"/>
        <v>0</v>
      </c>
      <c r="T16" s="36"/>
      <c r="V16" s="163"/>
      <c r="W16" s="150">
        <f t="shared" si="2"/>
        <v>0</v>
      </c>
      <c r="X16" s="87">
        <f t="shared" si="3"/>
        <v>0</v>
      </c>
      <c r="Y16" s="87">
        <f t="shared" si="8"/>
        <v>0</v>
      </c>
      <c r="Z16" s="87">
        <f t="shared" si="4"/>
        <v>0</v>
      </c>
      <c r="AA16" s="87"/>
      <c r="AB16" s="150">
        <f t="shared" si="6"/>
        <v>0</v>
      </c>
      <c r="AD16" s="94"/>
      <c r="AG16" s="85"/>
    </row>
    <row r="17" spans="1:33" ht="15.75">
      <c r="A17" s="158"/>
      <c r="C17" s="36"/>
      <c r="E17" s="37"/>
      <c r="F17" s="22"/>
      <c r="G17" s="22"/>
      <c r="H17" s="22"/>
      <c r="I17" s="86"/>
      <c r="J17" s="22"/>
      <c r="K17" s="22"/>
      <c r="L17" s="22"/>
      <c r="M17" s="22"/>
      <c r="N17" s="22"/>
      <c r="O17" s="22"/>
      <c r="P17" s="38"/>
      <c r="R17" s="36"/>
      <c r="T17" s="36">
        <f t="shared" si="1"/>
        <v>0</v>
      </c>
      <c r="V17" s="163"/>
      <c r="W17" s="150"/>
      <c r="X17" s="87"/>
      <c r="Y17" s="87"/>
      <c r="Z17" s="87"/>
      <c r="AA17" s="87"/>
      <c r="AB17" s="150"/>
      <c r="AG17" s="85">
        <f t="shared" si="7"/>
        <v>0</v>
      </c>
    </row>
    <row r="18" spans="1:33" ht="15.75">
      <c r="A18" s="158" t="s">
        <v>142</v>
      </c>
      <c r="C18" s="36">
        <v>-6829</v>
      </c>
      <c r="E18" s="37">
        <v>-480</v>
      </c>
      <c r="F18" s="22">
        <v>-607</v>
      </c>
      <c r="G18" s="22">
        <v>-568</v>
      </c>
      <c r="H18" s="22">
        <v>-764</v>
      </c>
      <c r="I18" s="86">
        <v>-746</v>
      </c>
      <c r="J18" s="22">
        <v>-677</v>
      </c>
      <c r="K18" s="22">
        <v>-1243</v>
      </c>
      <c r="L18" s="22">
        <v>-1185</v>
      </c>
      <c r="M18" s="22">
        <v>-631</v>
      </c>
      <c r="N18" s="22">
        <v>-337</v>
      </c>
      <c r="O18" s="22">
        <v>-551</v>
      </c>
      <c r="P18" s="38">
        <v>670</v>
      </c>
      <c r="R18" s="36">
        <f>SUM(E18:Q18)</f>
        <v>-7119</v>
      </c>
      <c r="T18" s="36">
        <f t="shared" si="1"/>
        <v>-42714</v>
      </c>
      <c r="V18" s="163">
        <v>-547</v>
      </c>
      <c r="W18" s="150">
        <f>+C18/12</f>
        <v>-569.0833333333334</v>
      </c>
      <c r="X18" s="87">
        <f>(+E18+F18+G18)/3</f>
        <v>-551.6666666666666</v>
      </c>
      <c r="Y18" s="87">
        <f t="shared" si="8"/>
        <v>-729</v>
      </c>
      <c r="Z18" s="87">
        <f aca="true" t="shared" si="9" ref="Z18:Z24">(+K18+L18+M18)/3</f>
        <v>-1019.6666666666666</v>
      </c>
      <c r="AA18" s="87">
        <f>SUM(N18:P18)/3</f>
        <v>-72.66666666666667</v>
      </c>
      <c r="AB18" s="150">
        <f>+R18/$AB$3</f>
        <v>-593.25</v>
      </c>
      <c r="AD18" s="94"/>
      <c r="AG18" s="85">
        <f t="shared" si="7"/>
        <v>547</v>
      </c>
    </row>
    <row r="19" spans="1:33" ht="15.75">
      <c r="A19" s="158" t="s">
        <v>143</v>
      </c>
      <c r="C19" s="36">
        <v>-1619</v>
      </c>
      <c r="E19" s="37">
        <v>-128</v>
      </c>
      <c r="F19" s="22">
        <v>130</v>
      </c>
      <c r="G19" s="22">
        <v>-2</v>
      </c>
      <c r="H19" s="22">
        <v>0</v>
      </c>
      <c r="I19" s="86">
        <v>0</v>
      </c>
      <c r="J19" s="22">
        <v>0</v>
      </c>
      <c r="K19" s="22">
        <v>0</v>
      </c>
      <c r="L19" s="22"/>
      <c r="M19" s="22"/>
      <c r="N19" s="22"/>
      <c r="O19" s="22"/>
      <c r="P19" s="38"/>
      <c r="R19" s="36">
        <f>SUM(E19:Q19)</f>
        <v>0</v>
      </c>
      <c r="T19" s="36">
        <f t="shared" si="1"/>
        <v>0</v>
      </c>
      <c r="V19" s="163">
        <v>0</v>
      </c>
      <c r="W19" s="150">
        <f>+C19/12</f>
        <v>-134.91666666666666</v>
      </c>
      <c r="X19" s="87">
        <f>(+E19+F19+G19)/3</f>
        <v>0</v>
      </c>
      <c r="Y19" s="87">
        <f t="shared" si="8"/>
        <v>0</v>
      </c>
      <c r="Z19" s="87">
        <f t="shared" si="9"/>
        <v>0</v>
      </c>
      <c r="AA19" s="87"/>
      <c r="AB19" s="150"/>
      <c r="AG19" s="85">
        <f t="shared" si="7"/>
        <v>0</v>
      </c>
    </row>
    <row r="20" spans="1:33" ht="15.75">
      <c r="A20" s="158" t="s">
        <v>144</v>
      </c>
      <c r="C20" s="36">
        <v>-14614</v>
      </c>
      <c r="E20" s="37">
        <v>-1217</v>
      </c>
      <c r="F20" s="22">
        <v>-1236</v>
      </c>
      <c r="G20" s="22">
        <v>-1228</v>
      </c>
      <c r="H20" s="22">
        <v>-1161</v>
      </c>
      <c r="I20" s="86">
        <v>-1151</v>
      </c>
      <c r="J20" s="22">
        <v>-1118</v>
      </c>
      <c r="K20" s="22">
        <v>-1114</v>
      </c>
      <c r="L20" s="22">
        <f>-438-680</f>
        <v>-1118</v>
      </c>
      <c r="M20" s="22">
        <f>-775-437</f>
        <v>-1212</v>
      </c>
      <c r="N20" s="22">
        <f>-439-584</f>
        <v>-1023</v>
      </c>
      <c r="O20" s="22">
        <v>-1159</v>
      </c>
      <c r="P20" s="38">
        <f>12737-13898</f>
        <v>-1161</v>
      </c>
      <c r="R20" s="36">
        <f>SUM(E20:Q20)</f>
        <v>-13898</v>
      </c>
      <c r="T20" s="36">
        <f t="shared" si="1"/>
        <v>-83388</v>
      </c>
      <c r="V20" s="163">
        <v>-1148</v>
      </c>
      <c r="W20" s="150">
        <f>+C20/12</f>
        <v>-1217.8333333333333</v>
      </c>
      <c r="X20" s="87">
        <f>(+E20+F20+G20)/3</f>
        <v>-1227</v>
      </c>
      <c r="Y20" s="87">
        <f t="shared" si="8"/>
        <v>-1143.3333333333333</v>
      </c>
      <c r="Z20" s="87">
        <f t="shared" si="9"/>
        <v>-1148</v>
      </c>
      <c r="AA20" s="87">
        <f>SUM(N20:P20)/3</f>
        <v>-1114.3333333333333</v>
      </c>
      <c r="AB20" s="150">
        <f>+R20/$AB$3</f>
        <v>-1158.1666666666667</v>
      </c>
      <c r="AD20" s="94"/>
      <c r="AG20" s="85">
        <f t="shared" si="7"/>
        <v>1148</v>
      </c>
    </row>
    <row r="21" spans="1:33" ht="15.75">
      <c r="A21" s="158"/>
      <c r="C21" s="36"/>
      <c r="E21" s="37"/>
      <c r="F21" s="22"/>
      <c r="G21" s="22"/>
      <c r="H21" s="22"/>
      <c r="I21" s="86"/>
      <c r="J21" s="22"/>
      <c r="K21" s="22"/>
      <c r="L21" s="22"/>
      <c r="M21" s="22"/>
      <c r="N21" s="22"/>
      <c r="O21" s="22"/>
      <c r="P21" s="38"/>
      <c r="R21" s="36"/>
      <c r="T21" s="36">
        <f t="shared" si="1"/>
        <v>0</v>
      </c>
      <c r="V21" s="163"/>
      <c r="W21" s="150"/>
      <c r="X21" s="87"/>
      <c r="Y21" s="87">
        <f t="shared" si="8"/>
        <v>0</v>
      </c>
      <c r="Z21" s="87">
        <f t="shared" si="9"/>
        <v>0</v>
      </c>
      <c r="AA21" s="87"/>
      <c r="AB21" s="150"/>
      <c r="AG21" s="85">
        <f t="shared" si="7"/>
        <v>0</v>
      </c>
    </row>
    <row r="22" spans="1:33" ht="15.75">
      <c r="A22" s="158" t="s">
        <v>180</v>
      </c>
      <c r="C22" s="36">
        <v>2242</v>
      </c>
      <c r="E22" s="37">
        <v>0</v>
      </c>
      <c r="F22" s="22">
        <v>0</v>
      </c>
      <c r="G22" s="22">
        <v>0</v>
      </c>
      <c r="H22" s="22">
        <v>0</v>
      </c>
      <c r="I22" s="86">
        <v>0</v>
      </c>
      <c r="J22" s="22">
        <v>0</v>
      </c>
      <c r="K22" s="22">
        <v>0</v>
      </c>
      <c r="L22" s="22"/>
      <c r="M22" s="22"/>
      <c r="N22" s="22"/>
      <c r="O22" s="22"/>
      <c r="P22" s="38"/>
      <c r="R22" s="36">
        <f>SUM(E22:Q22)</f>
        <v>0</v>
      </c>
      <c r="T22" s="36">
        <f t="shared" si="1"/>
        <v>0</v>
      </c>
      <c r="V22" s="163">
        <v>0</v>
      </c>
      <c r="W22" s="150">
        <f>+C22/12</f>
        <v>186.83333333333334</v>
      </c>
      <c r="X22" s="87">
        <f>(+E22+F22+G22)/3</f>
        <v>0</v>
      </c>
      <c r="Y22" s="87">
        <f t="shared" si="8"/>
        <v>0</v>
      </c>
      <c r="Z22" s="87">
        <f t="shared" si="9"/>
        <v>0</v>
      </c>
      <c r="AA22" s="87"/>
      <c r="AB22" s="150">
        <f>+R22/$AB$3</f>
        <v>0</v>
      </c>
      <c r="AG22" s="85">
        <f t="shared" si="7"/>
        <v>0</v>
      </c>
    </row>
    <row r="23" spans="1:33" ht="15.75">
      <c r="A23" s="158" t="s">
        <v>130</v>
      </c>
      <c r="C23" s="36">
        <v>2800</v>
      </c>
      <c r="E23" s="37">
        <v>233</v>
      </c>
      <c r="F23" s="22">
        <v>234</v>
      </c>
      <c r="G23" s="22">
        <v>233</v>
      </c>
      <c r="H23" s="22">
        <v>233</v>
      </c>
      <c r="I23" s="86">
        <v>234</v>
      </c>
      <c r="J23" s="22">
        <v>233</v>
      </c>
      <c r="K23" s="22">
        <v>233</v>
      </c>
      <c r="L23" s="22">
        <v>233</v>
      </c>
      <c r="M23" s="22">
        <v>233</v>
      </c>
      <c r="N23" s="22">
        <f>-2099+2332</f>
        <v>233</v>
      </c>
      <c r="O23" s="22">
        <v>-204</v>
      </c>
      <c r="P23" s="38">
        <v>0</v>
      </c>
      <c r="R23" s="36">
        <f>SUM(E23:Q23)</f>
        <v>2128</v>
      </c>
      <c r="T23" s="36">
        <f t="shared" si="1"/>
        <v>12768</v>
      </c>
      <c r="V23" s="163">
        <v>0</v>
      </c>
      <c r="W23" s="150">
        <f>+C23/12</f>
        <v>233.33333333333334</v>
      </c>
      <c r="X23" s="87">
        <f>(+E23+F23+G23)/3</f>
        <v>233.33333333333334</v>
      </c>
      <c r="Y23" s="87">
        <f t="shared" si="8"/>
        <v>233.33333333333334</v>
      </c>
      <c r="Z23" s="87">
        <f t="shared" si="9"/>
        <v>233</v>
      </c>
      <c r="AA23" s="87">
        <f>SUM(N23:P23)/3</f>
        <v>9.666666666666666</v>
      </c>
      <c r="AB23" s="150">
        <f>+R23/$AB$3</f>
        <v>177.33333333333334</v>
      </c>
      <c r="AG23" s="85">
        <f t="shared" si="7"/>
        <v>0</v>
      </c>
    </row>
    <row r="24" spans="1:33" ht="15.75">
      <c r="A24" s="158" t="s">
        <v>8</v>
      </c>
      <c r="C24" s="36">
        <v>176944</v>
      </c>
      <c r="E24" s="37">
        <v>14729.4</v>
      </c>
      <c r="F24" s="22">
        <v>14685</v>
      </c>
      <c r="G24" s="22">
        <v>14763</v>
      </c>
      <c r="H24" s="22">
        <v>14713</v>
      </c>
      <c r="I24" s="86">
        <v>15040</v>
      </c>
      <c r="J24" s="22">
        <v>15804</v>
      </c>
      <c r="K24" s="22">
        <v>15835</v>
      </c>
      <c r="L24" s="22">
        <f>-105569+122401-1866</f>
        <v>14966</v>
      </c>
      <c r="M24" s="22">
        <f>-120535+137454-2099</f>
        <v>14820</v>
      </c>
      <c r="N24" s="22">
        <f>-135355+152363-2332+156</f>
        <v>14832</v>
      </c>
      <c r="O24" s="22">
        <v>16844</v>
      </c>
      <c r="P24" s="38">
        <v>15625</v>
      </c>
      <c r="R24" s="36">
        <f>SUM(E24:Q24)</f>
        <v>182656.4</v>
      </c>
      <c r="T24" s="36">
        <f t="shared" si="1"/>
        <v>1095938.4</v>
      </c>
      <c r="V24" s="163">
        <f>16322-1222</f>
        <v>15100</v>
      </c>
      <c r="W24" s="150">
        <f>+C24/12</f>
        <v>14745.333333333334</v>
      </c>
      <c r="X24" s="164">
        <f>(+E24+F24+G24)/3</f>
        <v>14725.800000000001</v>
      </c>
      <c r="Y24" s="87">
        <f t="shared" si="8"/>
        <v>15185.666666666666</v>
      </c>
      <c r="Z24" s="87">
        <f t="shared" si="9"/>
        <v>15207</v>
      </c>
      <c r="AA24" s="87">
        <f>SUM(N24:P24)/3</f>
        <v>15767</v>
      </c>
      <c r="AB24" s="150">
        <f>+R24/$AB$3</f>
        <v>15221.366666666667</v>
      </c>
      <c r="AG24" s="85">
        <f t="shared" si="7"/>
        <v>-15100</v>
      </c>
    </row>
    <row r="25" spans="1:28" ht="16.5" thickBot="1">
      <c r="A25" s="158"/>
      <c r="C25" s="36"/>
      <c r="E25" s="37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38"/>
      <c r="R25" s="36"/>
      <c r="T25" s="36"/>
      <c r="V25" s="163"/>
      <c r="W25" s="150"/>
      <c r="X25" s="165"/>
      <c r="Y25" s="165"/>
      <c r="Z25" s="165"/>
      <c r="AA25" s="165"/>
      <c r="AB25" s="20"/>
    </row>
    <row r="26" spans="1:30" s="10" customFormat="1" ht="16.5" thickBot="1">
      <c r="A26" s="151" t="s">
        <v>174</v>
      </c>
      <c r="B26" s="40"/>
      <c r="C26" s="39">
        <f>SUM(C7:C25)</f>
        <v>0</v>
      </c>
      <c r="D26" s="40"/>
      <c r="E26" s="42">
        <f aca="true" t="shared" si="10" ref="E26:P26">SUM(E7:E25)</f>
        <v>-415</v>
      </c>
      <c r="F26" s="41">
        <f t="shared" si="10"/>
        <v>-410</v>
      </c>
      <c r="G26" s="41">
        <f t="shared" si="10"/>
        <v>-543</v>
      </c>
      <c r="H26" s="41">
        <f t="shared" si="10"/>
        <v>-716</v>
      </c>
      <c r="I26" s="41">
        <f t="shared" si="10"/>
        <v>-355</v>
      </c>
      <c r="J26" s="41">
        <f t="shared" si="10"/>
        <v>517</v>
      </c>
      <c r="K26" s="41">
        <f t="shared" si="10"/>
        <v>-383</v>
      </c>
      <c r="L26" s="41">
        <f t="shared" si="10"/>
        <v>-945</v>
      </c>
      <c r="M26" s="41">
        <f>SUM(M7:M25)-1</f>
        <v>-345</v>
      </c>
      <c r="N26" s="41">
        <f t="shared" si="10"/>
        <v>-519</v>
      </c>
      <c r="O26" s="41">
        <f t="shared" si="10"/>
        <v>945</v>
      </c>
      <c r="P26" s="43">
        <f t="shared" si="10"/>
        <v>328</v>
      </c>
      <c r="Q26" s="41"/>
      <c r="R26" s="39">
        <f>SUM(R7:R25)</f>
        <v>-2840</v>
      </c>
      <c r="S26" s="41"/>
      <c r="T26" s="39">
        <f>SUM(T7:T25)</f>
        <v>-17040</v>
      </c>
      <c r="U26" s="9"/>
      <c r="V26" s="166">
        <f aca="true" t="shared" si="11" ref="V26:AB26">SUM(V7:V25)</f>
        <v>-611</v>
      </c>
      <c r="W26" s="167">
        <f t="shared" si="11"/>
        <v>0</v>
      </c>
      <c r="X26" s="167">
        <f t="shared" si="11"/>
        <v>-455.99999999999636</v>
      </c>
      <c r="Y26" s="167">
        <f t="shared" si="11"/>
        <v>-184.66666666666788</v>
      </c>
      <c r="Z26" s="167">
        <f t="shared" si="11"/>
        <v>-557.3333333333321</v>
      </c>
      <c r="AA26" s="167">
        <f t="shared" si="11"/>
        <v>251.33333333333212</v>
      </c>
      <c r="AB26" s="167">
        <f t="shared" si="11"/>
        <v>-236.66666666666424</v>
      </c>
      <c r="AD26" s="94"/>
    </row>
    <row r="27" spans="2:28" ht="16.5" thickBot="1">
      <c r="B27" s="18"/>
      <c r="C27" s="18"/>
      <c r="V27" s="168"/>
      <c r="W27" s="96"/>
      <c r="AB27" s="96"/>
    </row>
    <row r="28" spans="1:28" s="10" customFormat="1" ht="16.5" thickBot="1">
      <c r="A28" s="151" t="s">
        <v>175</v>
      </c>
      <c r="B28" s="40"/>
      <c r="C28" s="39">
        <v>-2800</v>
      </c>
      <c r="D28" s="39"/>
      <c r="E28" s="41">
        <f aca="true" t="shared" si="12" ref="E28:P28">+E26-E23</f>
        <v>-648</v>
      </c>
      <c r="F28" s="41">
        <f t="shared" si="12"/>
        <v>-644</v>
      </c>
      <c r="G28" s="41">
        <f t="shared" si="12"/>
        <v>-776</v>
      </c>
      <c r="H28" s="41">
        <f t="shared" si="12"/>
        <v>-949</v>
      </c>
      <c r="I28" s="41">
        <f t="shared" si="12"/>
        <v>-589</v>
      </c>
      <c r="J28" s="41">
        <f t="shared" si="12"/>
        <v>284</v>
      </c>
      <c r="K28" s="41">
        <f t="shared" si="12"/>
        <v>-616</v>
      </c>
      <c r="L28" s="41">
        <f t="shared" si="12"/>
        <v>-1178</v>
      </c>
      <c r="M28" s="41">
        <f t="shared" si="12"/>
        <v>-578</v>
      </c>
      <c r="N28" s="41">
        <f t="shared" si="12"/>
        <v>-752</v>
      </c>
      <c r="O28" s="41">
        <f t="shared" si="12"/>
        <v>1149</v>
      </c>
      <c r="P28" s="43">
        <f t="shared" si="12"/>
        <v>328</v>
      </c>
      <c r="Q28" s="39"/>
      <c r="R28" s="39">
        <f>+R26-R23</f>
        <v>-4968</v>
      </c>
      <c r="S28" s="97"/>
      <c r="T28" s="97"/>
      <c r="V28" s="166">
        <f>+V26+V23</f>
        <v>-611</v>
      </c>
      <c r="W28" s="39">
        <f aca="true" t="shared" si="13" ref="W28:AB28">+W26-W23</f>
        <v>-233.33333333333334</v>
      </c>
      <c r="X28" s="43">
        <f t="shared" si="13"/>
        <v>-689.3333333333297</v>
      </c>
      <c r="Y28" s="43">
        <f t="shared" si="13"/>
        <v>-418.00000000000125</v>
      </c>
      <c r="Z28" s="43">
        <f t="shared" si="13"/>
        <v>-790.3333333333321</v>
      </c>
      <c r="AA28" s="43">
        <f t="shared" si="13"/>
        <v>241.66666666666546</v>
      </c>
      <c r="AB28" s="39">
        <f t="shared" si="13"/>
        <v>-413.9999999999976</v>
      </c>
    </row>
    <row r="29" spans="1:28" ht="15.75">
      <c r="A29" s="18"/>
      <c r="B29" s="23"/>
      <c r="C29" s="22"/>
      <c r="D29" s="23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18"/>
      <c r="V29" s="18"/>
      <c r="W29" s="18"/>
      <c r="AB29" s="18"/>
    </row>
    <row r="30" spans="1:28" ht="15.75">
      <c r="A30" s="18"/>
      <c r="B30" s="23"/>
      <c r="C30" s="22"/>
      <c r="D30" s="23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18"/>
      <c r="V30" s="18"/>
      <c r="W30" s="18"/>
      <c r="AB30" s="18"/>
    </row>
    <row r="31" spans="1:28" ht="15.75">
      <c r="A31" s="18"/>
      <c r="B31" s="23"/>
      <c r="C31" s="22"/>
      <c r="D31" s="23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18"/>
      <c r="V31" s="18"/>
      <c r="W31" s="18"/>
      <c r="AB31" s="18"/>
    </row>
    <row r="32" spans="1:28" ht="15.75">
      <c r="A32" s="18"/>
      <c r="B32" s="23"/>
      <c r="C32" s="22"/>
      <c r="D32" s="23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18"/>
      <c r="V32" s="18"/>
      <c r="W32" s="18"/>
      <c r="AB32" s="18"/>
    </row>
    <row r="33" spans="1:28" ht="15.75">
      <c r="A33" s="18"/>
      <c r="B33" s="23"/>
      <c r="C33" s="22"/>
      <c r="D33" s="23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18"/>
      <c r="V33" s="18"/>
      <c r="W33" s="18"/>
      <c r="AB33" s="18"/>
    </row>
    <row r="34" spans="1:28" ht="15.75">
      <c r="A34" s="18"/>
      <c r="B34" s="23"/>
      <c r="C34" s="22"/>
      <c r="D34" s="23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18"/>
      <c r="V34" s="18"/>
      <c r="W34" s="18"/>
      <c r="AB34" s="18"/>
    </row>
    <row r="35" spans="1:28" ht="15.75">
      <c r="A35" s="18"/>
      <c r="B35" s="23"/>
      <c r="C35" s="22"/>
      <c r="D35" s="23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18"/>
      <c r="V35" s="18"/>
      <c r="W35" s="18"/>
      <c r="AB35" s="18"/>
    </row>
    <row r="36" spans="1:28" ht="15.75">
      <c r="A36" s="18"/>
      <c r="B36" s="23"/>
      <c r="C36" s="22"/>
      <c r="D36" s="23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18"/>
      <c r="V36" s="18"/>
      <c r="W36" s="18"/>
      <c r="AB36" s="18"/>
    </row>
    <row r="37" spans="1:28" ht="15.75">
      <c r="A37" s="18"/>
      <c r="B37" s="23"/>
      <c r="C37" s="22"/>
      <c r="D37" s="23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18"/>
      <c r="V37" s="18"/>
      <c r="W37" s="18"/>
      <c r="AB37" s="18"/>
    </row>
    <row r="38" spans="1:28" ht="15.75">
      <c r="A38" s="18"/>
      <c r="B38" s="23"/>
      <c r="C38" s="22"/>
      <c r="D38" s="23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18"/>
      <c r="V38" s="18"/>
      <c r="W38" s="18"/>
      <c r="AB38" s="18"/>
    </row>
    <row r="39" spans="1:28" ht="15.75">
      <c r="A39" s="18"/>
      <c r="B39" s="23"/>
      <c r="C39" s="22"/>
      <c r="D39" s="23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18"/>
      <c r="V39" s="18"/>
      <c r="W39" s="18"/>
      <c r="AB39" s="18"/>
    </row>
    <row r="40" spans="1:28" ht="15.75">
      <c r="A40" s="18"/>
      <c r="B40" s="23"/>
      <c r="C40" s="22"/>
      <c r="D40" s="23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18"/>
      <c r="V40" s="18"/>
      <c r="W40" s="18"/>
      <c r="AB40" s="18"/>
    </row>
    <row r="41" spans="1:28" ht="15.75">
      <c r="A41" s="18"/>
      <c r="B41" s="23"/>
      <c r="C41" s="22"/>
      <c r="D41" s="23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18"/>
      <c r="V41" s="18"/>
      <c r="W41" s="18"/>
      <c r="AB41" s="18"/>
    </row>
    <row r="42" spans="1:28" ht="15.75">
      <c r="A42" s="18"/>
      <c r="B42" s="23"/>
      <c r="C42" s="22"/>
      <c r="D42" s="23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18"/>
      <c r="V42" s="18"/>
      <c r="W42" s="18"/>
      <c r="AB42" s="18"/>
    </row>
    <row r="43" spans="1:28" ht="15.75">
      <c r="A43" s="18"/>
      <c r="B43" s="23"/>
      <c r="C43" s="22"/>
      <c r="D43" s="23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18"/>
      <c r="V43" s="18"/>
      <c r="W43" s="18"/>
      <c r="AB43" s="18"/>
    </row>
    <row r="44" spans="1:28" ht="15.75">
      <c r="A44" s="18"/>
      <c r="B44" s="23"/>
      <c r="C44" s="22"/>
      <c r="D44" s="23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18"/>
      <c r="V44" s="18"/>
      <c r="W44" s="18"/>
      <c r="AB44" s="18"/>
    </row>
    <row r="45" spans="1:28" ht="15.75">
      <c r="A45" s="18"/>
      <c r="B45" s="23"/>
      <c r="C45" s="22"/>
      <c r="D45" s="23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18"/>
      <c r="V45" s="18"/>
      <c r="W45" s="18"/>
      <c r="AB45" s="18"/>
    </row>
    <row r="46" spans="1:28" ht="15.75">
      <c r="A46" s="18"/>
      <c r="B46" s="23"/>
      <c r="C46" s="22"/>
      <c r="D46" s="23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18"/>
      <c r="V46" s="18"/>
      <c r="W46" s="18"/>
      <c r="AB46" s="18"/>
    </row>
    <row r="47" spans="1:28" ht="15.75">
      <c r="A47" s="18"/>
      <c r="B47" s="23"/>
      <c r="C47" s="22"/>
      <c r="D47" s="23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18"/>
      <c r="V47" s="18"/>
      <c r="W47" s="18"/>
      <c r="AB47" s="18"/>
    </row>
    <row r="48" spans="1:28" ht="15.75">
      <c r="A48" s="18"/>
      <c r="B48" s="23"/>
      <c r="C48" s="22"/>
      <c r="D48" s="23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18"/>
      <c r="V48" s="18"/>
      <c r="W48" s="18"/>
      <c r="AB48" s="18"/>
    </row>
    <row r="49" spans="1:28" ht="15.75">
      <c r="A49" s="18"/>
      <c r="B49" s="23"/>
      <c r="C49" s="22"/>
      <c r="D49" s="23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18"/>
      <c r="V49" s="18"/>
      <c r="W49" s="18"/>
      <c r="AB49" s="18"/>
    </row>
    <row r="50" spans="1:28" ht="15.75">
      <c r="A50" s="18"/>
      <c r="B50" s="23"/>
      <c r="C50" s="22"/>
      <c r="D50" s="23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18"/>
      <c r="V50" s="18"/>
      <c r="W50" s="18"/>
      <c r="AB50" s="18"/>
    </row>
    <row r="51" spans="1:28" ht="15.75">
      <c r="A51" s="18"/>
      <c r="B51" s="23"/>
      <c r="C51" s="22"/>
      <c r="D51" s="23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18"/>
      <c r="V51" s="18"/>
      <c r="W51" s="18"/>
      <c r="AB51" s="18"/>
    </row>
    <row r="52" spans="1:28" ht="15.75">
      <c r="A52" s="18"/>
      <c r="B52" s="23"/>
      <c r="C52" s="22"/>
      <c r="D52" s="23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18"/>
      <c r="V52" s="18"/>
      <c r="W52" s="18"/>
      <c r="AB52" s="18"/>
    </row>
    <row r="53" spans="1:28" ht="15.75">
      <c r="A53" s="18"/>
      <c r="B53" s="23"/>
      <c r="C53" s="22"/>
      <c r="D53" s="23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18"/>
      <c r="V53" s="18"/>
      <c r="W53" s="18"/>
      <c r="AB53" s="18"/>
    </row>
    <row r="54" spans="1:28" ht="15.75">
      <c r="A54" s="18"/>
      <c r="B54" s="23"/>
      <c r="C54" s="22"/>
      <c r="D54" s="23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18"/>
      <c r="V54" s="18"/>
      <c r="W54" s="18"/>
      <c r="AB54" s="18"/>
    </row>
    <row r="55" spans="1:28" ht="15.75">
      <c r="A55" s="18"/>
      <c r="B55" s="23"/>
      <c r="C55" s="22"/>
      <c r="D55" s="23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18"/>
      <c r="V55" s="18"/>
      <c r="W55" s="18"/>
      <c r="AB55" s="18"/>
    </row>
    <row r="56" spans="1:28" ht="15.75">
      <c r="A56" s="18"/>
      <c r="B56" s="23"/>
      <c r="C56" s="22"/>
      <c r="D56" s="23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18"/>
      <c r="V56" s="18"/>
      <c r="W56" s="18"/>
      <c r="AB56" s="18"/>
    </row>
    <row r="57" spans="1:28" ht="15.75">
      <c r="A57" s="18"/>
      <c r="B57" s="23"/>
      <c r="C57" s="22"/>
      <c r="D57" s="2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18"/>
      <c r="V57" s="18"/>
      <c r="W57" s="18"/>
      <c r="AB57" s="18"/>
    </row>
    <row r="58" spans="1:28" ht="15.75">
      <c r="A58" s="18"/>
      <c r="B58" s="23"/>
      <c r="C58" s="22"/>
      <c r="D58" s="23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18"/>
      <c r="V58" s="18"/>
      <c r="W58" s="18"/>
      <c r="AB58" s="18"/>
    </row>
    <row r="59" spans="1:28" ht="15.75">
      <c r="A59" s="18"/>
      <c r="B59" s="23"/>
      <c r="C59" s="22"/>
      <c r="D59" s="23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18"/>
      <c r="V59" s="18"/>
      <c r="W59" s="18"/>
      <c r="AB59" s="18"/>
    </row>
    <row r="60" spans="1:28" ht="15.75">
      <c r="A60" s="18"/>
      <c r="B60" s="23"/>
      <c r="C60" s="22"/>
      <c r="D60" s="23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18"/>
      <c r="V60" s="18"/>
      <c r="W60" s="18"/>
      <c r="AB60" s="18"/>
    </row>
    <row r="61" spans="1:28" ht="15.75">
      <c r="A61" s="18"/>
      <c r="B61" s="23"/>
      <c r="C61" s="22"/>
      <c r="D61" s="23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18"/>
      <c r="V61" s="18"/>
      <c r="W61" s="18"/>
      <c r="AB61" s="18"/>
    </row>
    <row r="62" spans="1:28" ht="15.75">
      <c r="A62" s="18"/>
      <c r="B62" s="23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18"/>
      <c r="V62" s="18"/>
      <c r="W62" s="18"/>
      <c r="AB62" s="18"/>
    </row>
    <row r="63" spans="1:28" ht="15.75">
      <c r="A63" s="18"/>
      <c r="B63" s="23"/>
      <c r="C63" s="22"/>
      <c r="D63" s="23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18"/>
      <c r="V63" s="18"/>
      <c r="W63" s="18"/>
      <c r="AB63" s="18"/>
    </row>
    <row r="64" spans="1:28" ht="15.75">
      <c r="A64" s="18"/>
      <c r="B64" s="23"/>
      <c r="C64" s="22"/>
      <c r="D64" s="23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18"/>
      <c r="V64" s="18"/>
      <c r="W64" s="18"/>
      <c r="AB64" s="18"/>
    </row>
    <row r="65" spans="1:28" ht="15.75">
      <c r="A65" s="18"/>
      <c r="B65" s="23"/>
      <c r="C65" s="22"/>
      <c r="D65" s="23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18"/>
      <c r="V65" s="18"/>
      <c r="W65" s="18"/>
      <c r="AB65" s="18"/>
    </row>
    <row r="66" spans="1:28" ht="15.75">
      <c r="A66" s="18"/>
      <c r="B66" s="23"/>
      <c r="C66" s="22"/>
      <c r="D66" s="23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18"/>
      <c r="V66" s="18"/>
      <c r="W66" s="18"/>
      <c r="AB66" s="18"/>
    </row>
    <row r="67" spans="1:28" ht="15.75">
      <c r="A67" s="18"/>
      <c r="B67" s="23"/>
      <c r="C67" s="22"/>
      <c r="D67" s="23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18"/>
      <c r="V67" s="18"/>
      <c r="W67" s="18"/>
      <c r="AB67" s="18"/>
    </row>
    <row r="68" spans="1:28" ht="15.75">
      <c r="A68" s="18"/>
      <c r="B68" s="23"/>
      <c r="C68" s="22"/>
      <c r="D68" s="23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18"/>
      <c r="V68" s="18"/>
      <c r="W68" s="18"/>
      <c r="AB68" s="18"/>
    </row>
    <row r="69" spans="1:28" ht="15.75">
      <c r="A69" s="18"/>
      <c r="B69" s="23"/>
      <c r="C69" s="22"/>
      <c r="D69" s="23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18"/>
      <c r="V69" s="18"/>
      <c r="W69" s="18"/>
      <c r="AB69" s="18"/>
    </row>
    <row r="70" spans="1:28" ht="15.75">
      <c r="A70" s="18"/>
      <c r="B70" s="23"/>
      <c r="C70" s="22"/>
      <c r="D70" s="23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18"/>
      <c r="V70" s="18"/>
      <c r="W70" s="18"/>
      <c r="AB70" s="18"/>
    </row>
    <row r="71" spans="1:28" ht="15.75">
      <c r="A71" s="18"/>
      <c r="B71" s="23"/>
      <c r="C71" s="22"/>
      <c r="D71" s="23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18"/>
      <c r="V71" s="18"/>
      <c r="W71" s="18"/>
      <c r="AB71" s="18"/>
    </row>
    <row r="72" spans="1:28" ht="15.75">
      <c r="A72" s="18"/>
      <c r="B72" s="23"/>
      <c r="C72" s="22"/>
      <c r="D72" s="23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18"/>
      <c r="V72" s="18"/>
      <c r="W72" s="18"/>
      <c r="AB72" s="18"/>
    </row>
    <row r="73" spans="1:28" ht="15.75">
      <c r="A73" s="18"/>
      <c r="B73" s="23"/>
      <c r="C73" s="22"/>
      <c r="D73" s="23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18"/>
      <c r="V73" s="18"/>
      <c r="W73" s="18"/>
      <c r="AB73" s="18"/>
    </row>
    <row r="74" spans="1:28" ht="15.75">
      <c r="A74" s="18"/>
      <c r="B74" s="23"/>
      <c r="C74" s="22"/>
      <c r="D74" s="23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18"/>
      <c r="V74" s="18"/>
      <c r="W74" s="18"/>
      <c r="AB74" s="18"/>
    </row>
    <row r="75" spans="1:28" ht="15.75">
      <c r="A75" s="18"/>
      <c r="B75" s="23"/>
      <c r="C75" s="22"/>
      <c r="D75" s="23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18"/>
      <c r="V75" s="18"/>
      <c r="W75" s="18"/>
      <c r="AB75" s="18"/>
    </row>
    <row r="76" spans="1:28" ht="15.75">
      <c r="A76" s="18"/>
      <c r="B76" s="23"/>
      <c r="C76" s="22"/>
      <c r="D76" s="23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18"/>
      <c r="V76" s="18"/>
      <c r="W76" s="18"/>
      <c r="AB76" s="18"/>
    </row>
    <row r="77" spans="1:28" ht="15.75">
      <c r="A77" s="18"/>
      <c r="B77" s="23"/>
      <c r="C77" s="22"/>
      <c r="D77" s="23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18"/>
      <c r="V77" s="18"/>
      <c r="W77" s="18"/>
      <c r="AB77" s="18"/>
    </row>
    <row r="78" spans="1:28" ht="15.75">
      <c r="A78" s="18"/>
      <c r="B78" s="23"/>
      <c r="C78" s="22"/>
      <c r="D78" s="23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18"/>
      <c r="V78" s="18"/>
      <c r="W78" s="18"/>
      <c r="AB78" s="18"/>
    </row>
    <row r="79" spans="1:28" ht="15.75">
      <c r="A79" s="18"/>
      <c r="B79" s="23"/>
      <c r="C79" s="22"/>
      <c r="D79" s="23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18"/>
      <c r="V79" s="18"/>
      <c r="W79" s="18"/>
      <c r="AB79" s="18"/>
    </row>
    <row r="80" spans="1:28" ht="15.75">
      <c r="A80" s="18"/>
      <c r="B80" s="23"/>
      <c r="C80" s="22"/>
      <c r="D80" s="23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18"/>
      <c r="V80" s="18"/>
      <c r="W80" s="18"/>
      <c r="AB80" s="18"/>
    </row>
    <row r="81" spans="1:28" ht="15.75">
      <c r="A81" s="18"/>
      <c r="B81" s="23"/>
      <c r="C81" s="22"/>
      <c r="D81" s="23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18"/>
      <c r="V81" s="18"/>
      <c r="W81" s="18"/>
      <c r="AB81" s="18"/>
    </row>
    <row r="82" spans="1:28" ht="15.75">
      <c r="A82" s="18"/>
      <c r="B82" s="23"/>
      <c r="C82" s="22"/>
      <c r="D82" s="23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18"/>
      <c r="V82" s="18"/>
      <c r="W82" s="18"/>
      <c r="AB82" s="18"/>
    </row>
    <row r="83" spans="1:28" ht="15.75">
      <c r="A83" s="18"/>
      <c r="B83" s="23"/>
      <c r="C83" s="22"/>
      <c r="D83" s="23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18"/>
      <c r="V83" s="18"/>
      <c r="W83" s="18"/>
      <c r="AB83" s="18"/>
    </row>
    <row r="84" spans="1:28" ht="15.75">
      <c r="A84" s="18"/>
      <c r="B84" s="23"/>
      <c r="C84" s="22"/>
      <c r="D84" s="23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18"/>
      <c r="V84" s="18"/>
      <c r="W84" s="18"/>
      <c r="AB84" s="18"/>
    </row>
    <row r="85" spans="1:28" ht="15.75">
      <c r="A85" s="18"/>
      <c r="B85" s="23"/>
      <c r="C85" s="22"/>
      <c r="D85" s="23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18"/>
      <c r="V85" s="18"/>
      <c r="W85" s="18"/>
      <c r="AB85" s="18"/>
    </row>
    <row r="86" spans="1:28" ht="15.75">
      <c r="A86" s="18"/>
      <c r="B86" s="23"/>
      <c r="C86" s="22"/>
      <c r="D86" s="23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18"/>
      <c r="V86" s="18"/>
      <c r="W86" s="18"/>
      <c r="AB86" s="18"/>
    </row>
    <row r="87" spans="1:28" ht="15.75">
      <c r="A87" s="18"/>
      <c r="B87" s="23"/>
      <c r="C87" s="22"/>
      <c r="D87" s="23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18"/>
      <c r="V87" s="18"/>
      <c r="W87" s="18"/>
      <c r="AB87" s="18"/>
    </row>
    <row r="88" spans="1:28" ht="15.75">
      <c r="A88" s="18"/>
      <c r="B88" s="23"/>
      <c r="C88" s="22"/>
      <c r="D88" s="23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18"/>
      <c r="V88" s="18"/>
      <c r="W88" s="18"/>
      <c r="AB88" s="18"/>
    </row>
    <row r="89" spans="1:28" ht="15.75">
      <c r="A89" s="18"/>
      <c r="B89" s="23"/>
      <c r="C89" s="22"/>
      <c r="D89" s="23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18"/>
      <c r="V89" s="18"/>
      <c r="W89" s="18"/>
      <c r="AB89" s="18"/>
    </row>
    <row r="90" spans="1:28" ht="15.75">
      <c r="A90" s="18"/>
      <c r="B90" s="23"/>
      <c r="C90" s="22"/>
      <c r="D90" s="23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18"/>
      <c r="V90" s="18"/>
      <c r="W90" s="18"/>
      <c r="AB90" s="18"/>
    </row>
    <row r="91" spans="1:28" ht="15.75">
      <c r="A91" s="18"/>
      <c r="B91" s="23"/>
      <c r="C91" s="22"/>
      <c r="D91" s="23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18"/>
      <c r="V91" s="18"/>
      <c r="W91" s="18"/>
      <c r="AB91" s="18"/>
    </row>
    <row r="92" spans="1:28" ht="15.75">
      <c r="A92" s="18"/>
      <c r="B92" s="23"/>
      <c r="C92" s="22"/>
      <c r="D92" s="23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18"/>
      <c r="V92" s="18"/>
      <c r="W92" s="18"/>
      <c r="AB92" s="18"/>
    </row>
    <row r="93" spans="1:28" ht="15.75">
      <c r="A93" s="18"/>
      <c r="B93" s="23"/>
      <c r="C93" s="22"/>
      <c r="D93" s="23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18"/>
      <c r="V93" s="18"/>
      <c r="W93" s="18"/>
      <c r="AB93" s="18"/>
    </row>
    <row r="94" spans="1:28" ht="15.75">
      <c r="A94" s="18"/>
      <c r="B94" s="23"/>
      <c r="C94" s="22"/>
      <c r="D94" s="23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18"/>
      <c r="V94" s="18"/>
      <c r="W94" s="18"/>
      <c r="AB94" s="18"/>
    </row>
    <row r="95" spans="1:28" ht="15.75">
      <c r="A95" s="18"/>
      <c r="B95" s="23"/>
      <c r="C95" s="22"/>
      <c r="D95" s="23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18"/>
      <c r="V95" s="18"/>
      <c r="W95" s="18"/>
      <c r="AB95" s="18"/>
    </row>
    <row r="96" spans="1:28" ht="15.75">
      <c r="A96" s="18"/>
      <c r="B96" s="23"/>
      <c r="C96" s="22"/>
      <c r="D96" s="23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18"/>
      <c r="V96" s="18"/>
      <c r="W96" s="18"/>
      <c r="AB96" s="18"/>
    </row>
    <row r="97" spans="1:28" ht="15.75">
      <c r="A97" s="18"/>
      <c r="B97" s="23"/>
      <c r="C97" s="22"/>
      <c r="D97" s="23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18"/>
      <c r="V97" s="18"/>
      <c r="W97" s="18"/>
      <c r="AB97" s="18"/>
    </row>
    <row r="98" spans="1:28" ht="15.75">
      <c r="A98" s="18"/>
      <c r="B98" s="23"/>
      <c r="C98" s="22"/>
      <c r="D98" s="23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18"/>
      <c r="V98" s="18"/>
      <c r="W98" s="18"/>
      <c r="AB98" s="18"/>
    </row>
    <row r="99" spans="1:28" ht="15.75">
      <c r="A99" s="18"/>
      <c r="B99" s="23"/>
      <c r="C99" s="22"/>
      <c r="D99" s="23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18"/>
      <c r="V99" s="18"/>
      <c r="W99" s="18"/>
      <c r="AB99" s="18"/>
    </row>
    <row r="100" spans="1:28" ht="15.75">
      <c r="A100" s="18"/>
      <c r="B100" s="23"/>
      <c r="C100" s="22"/>
      <c r="D100" s="23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18"/>
      <c r="V100" s="18"/>
      <c r="W100" s="18"/>
      <c r="AB100" s="18"/>
    </row>
    <row r="101" spans="1:28" ht="15.75">
      <c r="A101" s="18"/>
      <c r="B101" s="23"/>
      <c r="C101" s="22"/>
      <c r="D101" s="23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18"/>
      <c r="V101" s="18"/>
      <c r="W101" s="18"/>
      <c r="AB101" s="18"/>
    </row>
    <row r="102" spans="1:28" ht="15.75">
      <c r="A102" s="18"/>
      <c r="B102" s="23"/>
      <c r="C102" s="22"/>
      <c r="D102" s="23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18"/>
      <c r="V102" s="18"/>
      <c r="W102" s="18"/>
      <c r="AB102" s="18"/>
    </row>
    <row r="103" spans="1:28" ht="15.75">
      <c r="A103" s="18"/>
      <c r="B103" s="23"/>
      <c r="C103" s="22"/>
      <c r="D103" s="23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18"/>
      <c r="V103" s="18"/>
      <c r="W103" s="18"/>
      <c r="AB103" s="18"/>
    </row>
    <row r="104" spans="1:28" ht="15.75">
      <c r="A104" s="18"/>
      <c r="B104" s="23"/>
      <c r="C104" s="22"/>
      <c r="D104" s="23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18"/>
      <c r="V104" s="18"/>
      <c r="W104" s="18"/>
      <c r="AB104" s="18"/>
    </row>
    <row r="105" spans="1:28" ht="15.75">
      <c r="A105" s="18"/>
      <c r="B105" s="23"/>
      <c r="C105" s="22"/>
      <c r="D105" s="23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18"/>
      <c r="V105" s="18"/>
      <c r="W105" s="18"/>
      <c r="AB105" s="18"/>
    </row>
    <row r="106" spans="1:28" ht="15.75">
      <c r="A106" s="18"/>
      <c r="B106" s="23"/>
      <c r="C106" s="22"/>
      <c r="D106" s="23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18"/>
      <c r="V106" s="18"/>
      <c r="W106" s="18"/>
      <c r="AB106" s="18"/>
    </row>
    <row r="107" spans="1:28" ht="15.75">
      <c r="A107" s="18"/>
      <c r="B107" s="23"/>
      <c r="C107" s="22"/>
      <c r="D107" s="23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18"/>
      <c r="V107" s="18"/>
      <c r="W107" s="18"/>
      <c r="AB107" s="18"/>
    </row>
    <row r="108" spans="1:28" ht="15.75">
      <c r="A108" s="18"/>
      <c r="B108" s="23"/>
      <c r="C108" s="22"/>
      <c r="D108" s="23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18"/>
      <c r="V108" s="18"/>
      <c r="W108" s="18"/>
      <c r="AB108" s="18"/>
    </row>
    <row r="109" spans="1:28" ht="15.75">
      <c r="A109" s="18"/>
      <c r="B109" s="23"/>
      <c r="C109" s="22"/>
      <c r="D109" s="23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18"/>
      <c r="V109" s="18"/>
      <c r="W109" s="18"/>
      <c r="AB109" s="18"/>
    </row>
    <row r="110" spans="1:28" ht="15.75">
      <c r="A110" s="18"/>
      <c r="B110" s="23"/>
      <c r="C110" s="22"/>
      <c r="D110" s="23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18"/>
      <c r="V110" s="18"/>
      <c r="W110" s="18"/>
      <c r="AB110" s="18"/>
    </row>
    <row r="111" spans="1:28" ht="15.75">
      <c r="A111" s="18"/>
      <c r="B111" s="23"/>
      <c r="C111" s="22"/>
      <c r="D111" s="23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18"/>
      <c r="V111" s="18"/>
      <c r="W111" s="18"/>
      <c r="AB111" s="18"/>
    </row>
    <row r="112" spans="1:28" ht="15.75">
      <c r="A112" s="18"/>
      <c r="B112" s="23"/>
      <c r="C112" s="22"/>
      <c r="D112" s="23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18"/>
      <c r="V112" s="18"/>
      <c r="W112" s="18"/>
      <c r="AB112" s="18"/>
    </row>
    <row r="113" spans="1:28" ht="15.75">
      <c r="A113" s="18"/>
      <c r="B113" s="23"/>
      <c r="C113" s="22"/>
      <c r="D113" s="23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18"/>
      <c r="V113" s="18"/>
      <c r="W113" s="18"/>
      <c r="AB113" s="18"/>
    </row>
    <row r="114" spans="1:28" ht="15.75">
      <c r="A114" s="18"/>
      <c r="B114" s="23"/>
      <c r="C114" s="22"/>
      <c r="D114" s="23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18"/>
      <c r="V114" s="18"/>
      <c r="W114" s="18"/>
      <c r="AB114" s="18"/>
    </row>
    <row r="115" spans="1:28" ht="15.75">
      <c r="A115" s="18"/>
      <c r="B115" s="23"/>
      <c r="C115" s="22"/>
      <c r="D115" s="23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18"/>
      <c r="V115" s="18"/>
      <c r="W115" s="18"/>
      <c r="AB115" s="18"/>
    </row>
    <row r="116" spans="1:28" ht="15.75">
      <c r="A116" s="18"/>
      <c r="B116" s="23"/>
      <c r="C116" s="22"/>
      <c r="D116" s="23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18"/>
      <c r="V116" s="18"/>
      <c r="W116" s="18"/>
      <c r="AB116" s="18"/>
    </row>
    <row r="117" spans="1:28" ht="15.75">
      <c r="A117" s="18"/>
      <c r="B117" s="23"/>
      <c r="C117" s="22"/>
      <c r="D117" s="23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18"/>
      <c r="V117" s="18"/>
      <c r="W117" s="18"/>
      <c r="AB117" s="18"/>
    </row>
    <row r="118" spans="1:28" ht="15.75">
      <c r="A118" s="18"/>
      <c r="B118" s="23"/>
      <c r="C118" s="22"/>
      <c r="D118" s="23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18"/>
      <c r="V118" s="18"/>
      <c r="W118" s="18"/>
      <c r="AB118" s="18"/>
    </row>
    <row r="119" spans="1:28" ht="15.75">
      <c r="A119" s="18"/>
      <c r="B119" s="23"/>
      <c r="C119" s="22"/>
      <c r="D119" s="23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18"/>
      <c r="V119" s="18"/>
      <c r="W119" s="18"/>
      <c r="AB119" s="18"/>
    </row>
    <row r="120" spans="1:28" ht="15.75">
      <c r="A120" s="18"/>
      <c r="B120" s="23"/>
      <c r="C120" s="22"/>
      <c r="D120" s="23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18"/>
      <c r="V120" s="18"/>
      <c r="W120" s="18"/>
      <c r="AB120" s="18"/>
    </row>
    <row r="121" spans="1:28" ht="15.75">
      <c r="A121" s="18"/>
      <c r="B121" s="23"/>
      <c r="C121" s="22"/>
      <c r="D121" s="23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18"/>
      <c r="V121" s="18"/>
      <c r="W121" s="18"/>
      <c r="AB121" s="18"/>
    </row>
    <row r="122" spans="1:28" ht="15.75">
      <c r="A122" s="18"/>
      <c r="B122" s="23"/>
      <c r="C122" s="22"/>
      <c r="D122" s="23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18"/>
      <c r="V122" s="18"/>
      <c r="W122" s="18"/>
      <c r="AB122" s="18"/>
    </row>
    <row r="123" spans="1:28" ht="15.75">
      <c r="A123" s="18"/>
      <c r="B123" s="23"/>
      <c r="C123" s="22"/>
      <c r="D123" s="23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18"/>
      <c r="V123" s="18"/>
      <c r="W123" s="18"/>
      <c r="AB123" s="18"/>
    </row>
    <row r="124" spans="1:28" ht="15.75">
      <c r="A124" s="18"/>
      <c r="B124" s="23"/>
      <c r="C124" s="22"/>
      <c r="D124" s="23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18"/>
      <c r="V124" s="18"/>
      <c r="W124" s="18"/>
      <c r="AB124" s="18"/>
    </row>
    <row r="125" spans="1:28" ht="15.75">
      <c r="A125" s="18"/>
      <c r="B125" s="23"/>
      <c r="C125" s="22"/>
      <c r="D125" s="23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18"/>
      <c r="V125" s="18"/>
      <c r="W125" s="18"/>
      <c r="AB125" s="18"/>
    </row>
    <row r="126" spans="1:28" ht="15.75">
      <c r="A126" s="18"/>
      <c r="B126" s="23"/>
      <c r="C126" s="22"/>
      <c r="D126" s="23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18"/>
      <c r="V126" s="18"/>
      <c r="W126" s="18"/>
      <c r="AB126" s="18"/>
    </row>
    <row r="127" spans="1:28" ht="15.75">
      <c r="A127" s="18"/>
      <c r="B127" s="23"/>
      <c r="C127" s="22"/>
      <c r="D127" s="23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18"/>
      <c r="V127" s="18"/>
      <c r="W127" s="18"/>
      <c r="AB127" s="18"/>
    </row>
    <row r="128" spans="1:28" ht="15.75">
      <c r="A128" s="18"/>
      <c r="B128" s="23"/>
      <c r="C128" s="22"/>
      <c r="D128" s="23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18"/>
      <c r="V128" s="18"/>
      <c r="W128" s="18"/>
      <c r="AB128" s="18"/>
    </row>
    <row r="129" spans="1:28" ht="15.75">
      <c r="A129" s="18"/>
      <c r="B129" s="23"/>
      <c r="C129" s="22"/>
      <c r="D129" s="23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18"/>
      <c r="V129" s="18"/>
      <c r="W129" s="18"/>
      <c r="AB129" s="18"/>
    </row>
    <row r="130" spans="1:28" ht="15.75">
      <c r="A130" s="18"/>
      <c r="B130" s="23"/>
      <c r="C130" s="22"/>
      <c r="D130" s="23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18"/>
      <c r="V130" s="18"/>
      <c r="W130" s="18"/>
      <c r="AB130" s="18"/>
    </row>
    <row r="131" spans="1:28" ht="15.75">
      <c r="A131" s="18"/>
      <c r="B131" s="23"/>
      <c r="C131" s="22"/>
      <c r="D131" s="23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18"/>
      <c r="V131" s="18"/>
      <c r="W131" s="18"/>
      <c r="AB131" s="18"/>
    </row>
    <row r="132" spans="1:28" ht="15.75">
      <c r="A132" s="18"/>
      <c r="B132" s="23"/>
      <c r="C132" s="22"/>
      <c r="D132" s="23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18"/>
      <c r="V132" s="18"/>
      <c r="W132" s="18"/>
      <c r="AB132" s="18"/>
    </row>
    <row r="133" spans="1:28" ht="15.75">
      <c r="A133" s="18"/>
      <c r="B133" s="23"/>
      <c r="C133" s="22"/>
      <c r="D133" s="23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18"/>
      <c r="V133" s="18"/>
      <c r="W133" s="18"/>
      <c r="AB133" s="18"/>
    </row>
    <row r="134" spans="1:28" ht="15.75">
      <c r="A134" s="18"/>
      <c r="B134" s="23"/>
      <c r="C134" s="22"/>
      <c r="D134" s="23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18"/>
      <c r="V134" s="18"/>
      <c r="W134" s="18"/>
      <c r="AB134" s="18"/>
    </row>
    <row r="135" spans="1:28" ht="15.75">
      <c r="A135" s="18"/>
      <c r="B135" s="23"/>
      <c r="C135" s="22"/>
      <c r="D135" s="23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18"/>
      <c r="V135" s="18"/>
      <c r="W135" s="18"/>
      <c r="AB135" s="18"/>
    </row>
    <row r="136" spans="1:28" ht="15.75">
      <c r="A136" s="18"/>
      <c r="B136" s="23"/>
      <c r="C136" s="22"/>
      <c r="D136" s="23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18"/>
      <c r="V136" s="18"/>
      <c r="W136" s="18"/>
      <c r="AB136" s="18"/>
    </row>
    <row r="137" spans="1:28" ht="15.75">
      <c r="A137" s="18"/>
      <c r="B137" s="23"/>
      <c r="C137" s="22"/>
      <c r="D137" s="23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18"/>
      <c r="V137" s="18"/>
      <c r="W137" s="18"/>
      <c r="AB137" s="18"/>
    </row>
    <row r="138" spans="1:28" ht="15.75">
      <c r="A138" s="18"/>
      <c r="B138" s="23"/>
      <c r="C138" s="22"/>
      <c r="D138" s="23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18"/>
      <c r="V138" s="18"/>
      <c r="W138" s="18"/>
      <c r="AB138" s="18"/>
    </row>
    <row r="139" spans="1:28" ht="15.75">
      <c r="A139" s="18"/>
      <c r="B139" s="23"/>
      <c r="C139" s="22"/>
      <c r="D139" s="23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18"/>
      <c r="V139" s="18"/>
      <c r="W139" s="18"/>
      <c r="AB139" s="18"/>
    </row>
    <row r="140" spans="1:28" ht="15.75">
      <c r="A140" s="18"/>
      <c r="B140" s="23"/>
      <c r="C140" s="22"/>
      <c r="D140" s="23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18"/>
      <c r="V140" s="18"/>
      <c r="W140" s="18"/>
      <c r="AB140" s="18"/>
    </row>
    <row r="141" spans="1:28" ht="15.75">
      <c r="A141" s="18"/>
      <c r="B141" s="23"/>
      <c r="C141" s="22"/>
      <c r="D141" s="23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18"/>
      <c r="V141" s="18"/>
      <c r="W141" s="18"/>
      <c r="AB141" s="18"/>
    </row>
    <row r="142" spans="1:28" ht="15.75">
      <c r="A142" s="18"/>
      <c r="B142" s="23"/>
      <c r="C142" s="22"/>
      <c r="D142" s="23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18"/>
      <c r="V142" s="18"/>
      <c r="W142" s="18"/>
      <c r="AB142" s="18"/>
    </row>
    <row r="143" spans="1:28" ht="15.75">
      <c r="A143" s="18"/>
      <c r="B143" s="23"/>
      <c r="C143" s="22"/>
      <c r="D143" s="23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18"/>
      <c r="V143" s="18"/>
      <c r="W143" s="18"/>
      <c r="AB143" s="18"/>
    </row>
    <row r="144" spans="1:28" ht="15.75">
      <c r="A144" s="18"/>
      <c r="B144" s="23"/>
      <c r="C144" s="22"/>
      <c r="D144" s="23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18"/>
      <c r="V144" s="18"/>
      <c r="W144" s="18"/>
      <c r="AB144" s="18"/>
    </row>
    <row r="145" spans="1:28" ht="15.75">
      <c r="A145" s="18"/>
      <c r="B145" s="23"/>
      <c r="C145" s="22"/>
      <c r="D145" s="23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18"/>
      <c r="V145" s="18"/>
      <c r="W145" s="18"/>
      <c r="AB145" s="18"/>
    </row>
    <row r="146" spans="1:28" ht="15.75">
      <c r="A146" s="18"/>
      <c r="B146" s="23"/>
      <c r="C146" s="22"/>
      <c r="D146" s="23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18"/>
      <c r="V146" s="18"/>
      <c r="W146" s="18"/>
      <c r="AB146" s="18"/>
    </row>
    <row r="147" spans="1:28" ht="15.75">
      <c r="A147" s="18"/>
      <c r="B147" s="23"/>
      <c r="C147" s="22"/>
      <c r="D147" s="23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18"/>
      <c r="V147" s="18"/>
      <c r="W147" s="18"/>
      <c r="AB147" s="18"/>
    </row>
    <row r="148" spans="1:28" ht="15.75">
      <c r="A148" s="18"/>
      <c r="B148" s="23"/>
      <c r="C148" s="22"/>
      <c r="D148" s="23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18"/>
      <c r="V148" s="18"/>
      <c r="W148" s="18"/>
      <c r="AB148" s="18"/>
    </row>
    <row r="149" spans="1:28" ht="15.75">
      <c r="A149" s="18"/>
      <c r="B149" s="23"/>
      <c r="C149" s="22"/>
      <c r="D149" s="23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18"/>
      <c r="V149" s="18"/>
      <c r="W149" s="18"/>
      <c r="AB149" s="18"/>
    </row>
    <row r="150" spans="1:28" ht="15.75">
      <c r="A150" s="18"/>
      <c r="B150" s="23"/>
      <c r="C150" s="22"/>
      <c r="D150" s="23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18"/>
      <c r="V150" s="18"/>
      <c r="W150" s="18"/>
      <c r="AB150" s="18"/>
    </row>
    <row r="151" spans="1:28" ht="15.75">
      <c r="A151" s="18"/>
      <c r="B151" s="23"/>
      <c r="C151" s="22"/>
      <c r="D151" s="23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18"/>
      <c r="V151" s="18"/>
      <c r="W151" s="18"/>
      <c r="AB151" s="18"/>
    </row>
    <row r="152" spans="1:28" ht="15.75">
      <c r="A152" s="18"/>
      <c r="B152" s="23"/>
      <c r="C152" s="22"/>
      <c r="D152" s="23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18"/>
      <c r="V152" s="18"/>
      <c r="W152" s="18"/>
      <c r="AB152" s="18"/>
    </row>
    <row r="153" spans="1:28" ht="15.75">
      <c r="A153" s="18"/>
      <c r="B153" s="23"/>
      <c r="C153" s="22"/>
      <c r="D153" s="23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18"/>
      <c r="V153" s="18"/>
      <c r="W153" s="18"/>
      <c r="AB153" s="18"/>
    </row>
    <row r="154" spans="1:28" ht="15.75">
      <c r="A154" s="18"/>
      <c r="B154" s="23"/>
      <c r="C154" s="22"/>
      <c r="D154" s="23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18"/>
      <c r="V154" s="18"/>
      <c r="W154" s="18"/>
      <c r="AB154" s="18"/>
    </row>
    <row r="155" spans="1:28" ht="15.75">
      <c r="A155" s="18"/>
      <c r="B155" s="23"/>
      <c r="C155" s="22"/>
      <c r="D155" s="23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18"/>
      <c r="V155" s="18"/>
      <c r="W155" s="18"/>
      <c r="AB155" s="18"/>
    </row>
    <row r="156" spans="1:28" ht="15.75">
      <c r="A156" s="18"/>
      <c r="B156" s="23"/>
      <c r="C156" s="22"/>
      <c r="D156" s="23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18"/>
      <c r="V156" s="18"/>
      <c r="W156" s="18"/>
      <c r="AB156" s="18"/>
    </row>
    <row r="157" spans="1:28" ht="15.75">
      <c r="A157" s="18"/>
      <c r="B157" s="23"/>
      <c r="C157" s="22"/>
      <c r="D157" s="23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18"/>
      <c r="V157" s="18"/>
      <c r="W157" s="18"/>
      <c r="AB157" s="18"/>
    </row>
    <row r="158" spans="1:28" ht="15.75">
      <c r="A158" s="18"/>
      <c r="B158" s="23"/>
      <c r="C158" s="22"/>
      <c r="D158" s="23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18"/>
      <c r="V158" s="18"/>
      <c r="W158" s="18"/>
      <c r="AB158" s="18"/>
    </row>
    <row r="159" spans="1:28" ht="15.75">
      <c r="A159" s="18"/>
      <c r="B159" s="23"/>
      <c r="C159" s="22"/>
      <c r="D159" s="23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18"/>
      <c r="V159" s="18"/>
      <c r="W159" s="18"/>
      <c r="AB159" s="18"/>
    </row>
    <row r="160" spans="1:28" ht="15.75">
      <c r="A160" s="18"/>
      <c r="B160" s="23"/>
      <c r="C160" s="22"/>
      <c r="D160" s="23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18"/>
      <c r="V160" s="18"/>
      <c r="W160" s="18"/>
      <c r="AB160" s="18"/>
    </row>
    <row r="161" spans="1:28" ht="15.75">
      <c r="A161" s="18"/>
      <c r="B161" s="23"/>
      <c r="C161" s="22"/>
      <c r="D161" s="23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18"/>
      <c r="V161" s="18"/>
      <c r="W161" s="18"/>
      <c r="AB161" s="18"/>
    </row>
    <row r="162" spans="1:28" ht="15.75">
      <c r="A162" s="18"/>
      <c r="B162" s="23"/>
      <c r="C162" s="22"/>
      <c r="D162" s="23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18"/>
      <c r="V162" s="18"/>
      <c r="W162" s="18"/>
      <c r="AB162" s="18"/>
    </row>
    <row r="163" spans="1:28" ht="15.75">
      <c r="A163" s="18"/>
      <c r="B163" s="23"/>
      <c r="C163" s="22"/>
      <c r="D163" s="23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18"/>
      <c r="V163" s="18"/>
      <c r="W163" s="18"/>
      <c r="AB163" s="18"/>
    </row>
    <row r="164" spans="1:28" ht="15.75">
      <c r="A164" s="18"/>
      <c r="B164" s="23"/>
      <c r="C164" s="22"/>
      <c r="D164" s="23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18"/>
      <c r="V164" s="18"/>
      <c r="W164" s="18"/>
      <c r="AB164" s="18"/>
    </row>
    <row r="165" spans="1:28" ht="15.75">
      <c r="A165" s="18"/>
      <c r="B165" s="23"/>
      <c r="C165" s="22"/>
      <c r="D165" s="23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18"/>
      <c r="V165" s="18"/>
      <c r="W165" s="18"/>
      <c r="AB165" s="18"/>
    </row>
    <row r="166" spans="1:28" ht="15.75">
      <c r="A166" s="18"/>
      <c r="B166" s="23"/>
      <c r="C166" s="22"/>
      <c r="D166" s="23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18"/>
      <c r="V166" s="18"/>
      <c r="W166" s="18"/>
      <c r="AB166" s="18"/>
    </row>
    <row r="167" spans="1:28" ht="15.75">
      <c r="A167" s="18"/>
      <c r="B167" s="23"/>
      <c r="C167" s="22"/>
      <c r="D167" s="23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18"/>
      <c r="V167" s="18"/>
      <c r="W167" s="18"/>
      <c r="AB167" s="18"/>
    </row>
    <row r="168" spans="1:28" ht="15.75">
      <c r="A168" s="18"/>
      <c r="B168" s="23"/>
      <c r="C168" s="22"/>
      <c r="D168" s="23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18"/>
      <c r="V168" s="18"/>
      <c r="W168" s="18"/>
      <c r="AB168" s="18"/>
    </row>
    <row r="169" spans="1:28" ht="15.75">
      <c r="A169" s="18"/>
      <c r="B169" s="23"/>
      <c r="C169" s="22"/>
      <c r="D169" s="23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18"/>
      <c r="V169" s="18"/>
      <c r="W169" s="18"/>
      <c r="AB169" s="18"/>
    </row>
    <row r="170" spans="1:28" ht="15.75">
      <c r="A170" s="18"/>
      <c r="B170" s="23"/>
      <c r="C170" s="22"/>
      <c r="D170" s="23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18"/>
      <c r="V170" s="18"/>
      <c r="W170" s="18"/>
      <c r="AB170" s="18"/>
    </row>
    <row r="171" spans="1:28" ht="15.75">
      <c r="A171" s="18"/>
      <c r="B171" s="23"/>
      <c r="C171" s="22"/>
      <c r="D171" s="23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18"/>
      <c r="V171" s="18"/>
      <c r="W171" s="18"/>
      <c r="AB171" s="18"/>
    </row>
    <row r="172" spans="1:28" ht="15.75">
      <c r="A172" s="18"/>
      <c r="B172" s="23"/>
      <c r="C172" s="22"/>
      <c r="D172" s="23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18"/>
      <c r="V172" s="18"/>
      <c r="W172" s="18"/>
      <c r="AB172" s="18"/>
    </row>
    <row r="173" spans="1:28" ht="15.75">
      <c r="A173" s="18"/>
      <c r="B173" s="23"/>
      <c r="C173" s="22"/>
      <c r="D173" s="23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18"/>
      <c r="V173" s="18"/>
      <c r="W173" s="18"/>
      <c r="AB173" s="18"/>
    </row>
    <row r="174" spans="1:28" ht="15.75">
      <c r="A174" s="18"/>
      <c r="B174" s="23"/>
      <c r="C174" s="22"/>
      <c r="D174" s="23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18"/>
      <c r="V174" s="18"/>
      <c r="W174" s="18"/>
      <c r="AB174" s="18"/>
    </row>
    <row r="175" spans="1:28" ht="15.75">
      <c r="A175" s="18"/>
      <c r="B175" s="23"/>
      <c r="C175" s="22"/>
      <c r="D175" s="23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18"/>
      <c r="V175" s="18"/>
      <c r="W175" s="18"/>
      <c r="AB175" s="18"/>
    </row>
    <row r="176" spans="1:28" ht="15.75">
      <c r="A176" s="18"/>
      <c r="B176" s="23"/>
      <c r="C176" s="22"/>
      <c r="D176" s="23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18"/>
      <c r="V176" s="18"/>
      <c r="W176" s="18"/>
      <c r="AB176" s="18"/>
    </row>
    <row r="177" spans="1:28" ht="15.75">
      <c r="A177" s="18"/>
      <c r="B177" s="23"/>
      <c r="C177" s="22"/>
      <c r="D177" s="23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18"/>
      <c r="V177" s="18"/>
      <c r="W177" s="18"/>
      <c r="AB177" s="18"/>
    </row>
    <row r="178" spans="1:28" ht="15.75">
      <c r="A178" s="18"/>
      <c r="B178" s="23"/>
      <c r="C178" s="22"/>
      <c r="D178" s="23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18"/>
      <c r="V178" s="18"/>
      <c r="W178" s="18"/>
      <c r="AB178" s="18"/>
    </row>
    <row r="179" spans="1:28" ht="15.75">
      <c r="A179" s="18"/>
      <c r="B179" s="23"/>
      <c r="C179" s="22"/>
      <c r="D179" s="23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18"/>
      <c r="V179" s="18"/>
      <c r="W179" s="18"/>
      <c r="AB179" s="18"/>
    </row>
    <row r="180" spans="1:28" ht="15.75">
      <c r="A180" s="18"/>
      <c r="B180" s="23"/>
      <c r="C180" s="22"/>
      <c r="D180" s="23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18"/>
      <c r="V180" s="18"/>
      <c r="W180" s="18"/>
      <c r="AB180" s="18"/>
    </row>
    <row r="181" spans="1:28" ht="15.75">
      <c r="A181" s="18"/>
      <c r="B181" s="23"/>
      <c r="C181" s="22"/>
      <c r="D181" s="23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18"/>
      <c r="V181" s="18"/>
      <c r="W181" s="18"/>
      <c r="AB181" s="18"/>
    </row>
    <row r="182" spans="1:28" ht="15.75">
      <c r="A182" s="18"/>
      <c r="B182" s="23"/>
      <c r="C182" s="22"/>
      <c r="D182" s="23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18"/>
      <c r="V182" s="18"/>
      <c r="W182" s="18"/>
      <c r="AB182" s="18"/>
    </row>
    <row r="183" spans="1:28" ht="15.75">
      <c r="A183" s="18"/>
      <c r="B183" s="23"/>
      <c r="C183" s="22"/>
      <c r="D183" s="23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18"/>
      <c r="V183" s="18"/>
      <c r="W183" s="18"/>
      <c r="AB183" s="18"/>
    </row>
    <row r="184" spans="1:28" ht="15.75">
      <c r="A184" s="18"/>
      <c r="B184" s="23"/>
      <c r="C184" s="22"/>
      <c r="D184" s="23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18"/>
      <c r="V184" s="18"/>
      <c r="W184" s="18"/>
      <c r="AB184" s="18"/>
    </row>
    <row r="185" spans="1:28" ht="15.75">
      <c r="A185" s="18"/>
      <c r="B185" s="23"/>
      <c r="C185" s="22"/>
      <c r="D185" s="23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18"/>
      <c r="V185" s="18"/>
      <c r="W185" s="18"/>
      <c r="AB185" s="18"/>
    </row>
    <row r="186" spans="1:28" ht="15.75">
      <c r="A186" s="18"/>
      <c r="B186" s="23"/>
      <c r="C186" s="22"/>
      <c r="D186" s="23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18"/>
      <c r="V186" s="18"/>
      <c r="W186" s="18"/>
      <c r="AB186" s="18"/>
    </row>
    <row r="187" spans="1:28" ht="15.75">
      <c r="A187" s="18"/>
      <c r="B187" s="23"/>
      <c r="C187" s="22"/>
      <c r="D187" s="23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18"/>
      <c r="V187" s="18"/>
      <c r="W187" s="18"/>
      <c r="AB187" s="18"/>
    </row>
    <row r="188" spans="1:28" ht="15.75">
      <c r="A188" s="18"/>
      <c r="B188" s="23"/>
      <c r="C188" s="22"/>
      <c r="D188" s="23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18"/>
      <c r="V188" s="18"/>
      <c r="W188" s="18"/>
      <c r="AB188" s="18"/>
    </row>
    <row r="189" spans="1:28" ht="15.75">
      <c r="A189" s="18"/>
      <c r="B189" s="23"/>
      <c r="C189" s="22"/>
      <c r="D189" s="23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18"/>
      <c r="V189" s="18"/>
      <c r="W189" s="18"/>
      <c r="AB189" s="18"/>
    </row>
    <row r="190" spans="1:28" ht="15.75">
      <c r="A190" s="18"/>
      <c r="B190" s="23"/>
      <c r="C190" s="22"/>
      <c r="D190" s="23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18"/>
      <c r="V190" s="18"/>
      <c r="W190" s="18"/>
      <c r="AB190" s="18"/>
    </row>
    <row r="191" spans="1:28" ht="15.75">
      <c r="A191" s="18"/>
      <c r="B191" s="23"/>
      <c r="C191" s="22"/>
      <c r="D191" s="23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18"/>
      <c r="V191" s="18"/>
      <c r="W191" s="18"/>
      <c r="AB191" s="18"/>
    </row>
    <row r="192" spans="1:28" ht="15.75">
      <c r="A192" s="18"/>
      <c r="B192" s="23"/>
      <c r="C192" s="22"/>
      <c r="D192" s="23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18"/>
      <c r="V192" s="18"/>
      <c r="W192" s="18"/>
      <c r="AB192" s="18"/>
    </row>
    <row r="193" spans="1:28" ht="15.75">
      <c r="A193" s="18"/>
      <c r="B193" s="23"/>
      <c r="C193" s="22"/>
      <c r="D193" s="23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18"/>
      <c r="V193" s="18"/>
      <c r="W193" s="18"/>
      <c r="AB193" s="18"/>
    </row>
    <row r="194" spans="1:28" ht="15.75">
      <c r="A194" s="18"/>
      <c r="B194" s="23"/>
      <c r="C194" s="22"/>
      <c r="D194" s="23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18"/>
      <c r="V194" s="18"/>
      <c r="W194" s="18"/>
      <c r="AB194" s="18"/>
    </row>
    <row r="195" spans="1:28" ht="15.75">
      <c r="A195" s="18"/>
      <c r="B195" s="23"/>
      <c r="C195" s="22"/>
      <c r="D195" s="23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18"/>
      <c r="V195" s="18"/>
      <c r="W195" s="18"/>
      <c r="AB195" s="18"/>
    </row>
    <row r="196" spans="1:28" ht="15.75">
      <c r="A196" s="18"/>
      <c r="B196" s="23"/>
      <c r="C196" s="22"/>
      <c r="D196" s="23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18"/>
      <c r="V196" s="18"/>
      <c r="W196" s="18"/>
      <c r="AB196" s="18"/>
    </row>
    <row r="197" spans="1:28" ht="15.75">
      <c r="A197" s="18"/>
      <c r="B197" s="23"/>
      <c r="C197" s="22"/>
      <c r="D197" s="23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18"/>
      <c r="V197" s="18"/>
      <c r="W197" s="18"/>
      <c r="AB197" s="18"/>
    </row>
    <row r="198" spans="1:28" ht="15.75">
      <c r="A198" s="18"/>
      <c r="B198" s="23"/>
      <c r="C198" s="22"/>
      <c r="D198" s="23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18"/>
      <c r="V198" s="18"/>
      <c r="W198" s="18"/>
      <c r="AB198" s="18"/>
    </row>
    <row r="199" spans="1:28" ht="15.75">
      <c r="A199" s="18"/>
      <c r="B199" s="23"/>
      <c r="C199" s="22"/>
      <c r="D199" s="23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18"/>
      <c r="V199" s="18"/>
      <c r="W199" s="18"/>
      <c r="AB199" s="18"/>
    </row>
    <row r="200" spans="1:28" ht="15.75">
      <c r="A200" s="18"/>
      <c r="B200" s="23"/>
      <c r="C200" s="22"/>
      <c r="D200" s="23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18"/>
      <c r="V200" s="18"/>
      <c r="W200" s="18"/>
      <c r="AB200" s="18"/>
    </row>
    <row r="201" spans="1:28" ht="15.75">
      <c r="A201" s="18"/>
      <c r="B201" s="23"/>
      <c r="C201" s="22"/>
      <c r="D201" s="23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18"/>
      <c r="V201" s="18"/>
      <c r="W201" s="18"/>
      <c r="AB201" s="18"/>
    </row>
    <row r="202" spans="1:28" ht="15.75">
      <c r="A202" s="18"/>
      <c r="B202" s="23"/>
      <c r="C202" s="22"/>
      <c r="D202" s="23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18"/>
      <c r="V202" s="18"/>
      <c r="W202" s="18"/>
      <c r="AB202" s="18"/>
    </row>
    <row r="203" spans="1:28" ht="15.75">
      <c r="A203" s="18"/>
      <c r="B203" s="23"/>
      <c r="C203" s="22"/>
      <c r="D203" s="23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18"/>
      <c r="V203" s="18"/>
      <c r="W203" s="18"/>
      <c r="AB203" s="18"/>
    </row>
    <row r="204" spans="1:28" ht="15.75">
      <c r="A204" s="18"/>
      <c r="B204" s="23"/>
      <c r="C204" s="22"/>
      <c r="D204" s="23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18"/>
      <c r="V204" s="18"/>
      <c r="W204" s="18"/>
      <c r="AB204" s="18"/>
    </row>
    <row r="205" spans="1:28" ht="15.75">
      <c r="A205" s="18"/>
      <c r="B205" s="23"/>
      <c r="C205" s="22"/>
      <c r="D205" s="23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18"/>
      <c r="V205" s="18"/>
      <c r="W205" s="18"/>
      <c r="AB205" s="18"/>
    </row>
    <row r="206" spans="1:28" ht="15.75">
      <c r="A206" s="18"/>
      <c r="B206" s="23"/>
      <c r="C206" s="22"/>
      <c r="D206" s="23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18"/>
      <c r="V206" s="18"/>
      <c r="W206" s="18"/>
      <c r="AB206" s="18"/>
    </row>
    <row r="207" spans="1:28" ht="15.75">
      <c r="A207" s="18"/>
      <c r="B207" s="23"/>
      <c r="C207" s="22"/>
      <c r="D207" s="23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18"/>
      <c r="V207" s="18"/>
      <c r="W207" s="18"/>
      <c r="AB207" s="18"/>
    </row>
    <row r="208" spans="1:28" ht="15.75">
      <c r="A208" s="18"/>
      <c r="B208" s="23"/>
      <c r="C208" s="22"/>
      <c r="D208" s="23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18"/>
      <c r="V208" s="18"/>
      <c r="W208" s="18"/>
      <c r="AB208" s="18"/>
    </row>
    <row r="209" spans="1:28" ht="15.75">
      <c r="A209" s="18"/>
      <c r="B209" s="23"/>
      <c r="C209" s="22"/>
      <c r="D209" s="23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18"/>
      <c r="V209" s="18"/>
      <c r="W209" s="18"/>
      <c r="AB209" s="18"/>
    </row>
    <row r="210" spans="1:28" ht="15.75">
      <c r="A210" s="18"/>
      <c r="B210" s="23"/>
      <c r="C210" s="22"/>
      <c r="D210" s="23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18"/>
      <c r="V210" s="18"/>
      <c r="W210" s="18"/>
      <c r="AB210" s="18"/>
    </row>
    <row r="211" spans="1:28" ht="15.75">
      <c r="A211" s="18"/>
      <c r="B211" s="23"/>
      <c r="C211" s="22"/>
      <c r="D211" s="23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18"/>
      <c r="V211" s="18"/>
      <c r="W211" s="18"/>
      <c r="AB211" s="18"/>
    </row>
    <row r="212" spans="1:28" ht="15.75">
      <c r="A212" s="18"/>
      <c r="B212" s="23"/>
      <c r="C212" s="22"/>
      <c r="D212" s="23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18"/>
      <c r="V212" s="18"/>
      <c r="W212" s="18"/>
      <c r="AB212" s="18"/>
    </row>
    <row r="213" spans="1:28" ht="15.75">
      <c r="A213" s="18"/>
      <c r="B213" s="23"/>
      <c r="C213" s="22"/>
      <c r="D213" s="23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18"/>
      <c r="V213" s="18"/>
      <c r="W213" s="18"/>
      <c r="AB213" s="18"/>
    </row>
    <row r="214" spans="1:28" ht="15.75">
      <c r="A214" s="18"/>
      <c r="B214" s="23"/>
      <c r="C214" s="22"/>
      <c r="D214" s="23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18"/>
      <c r="V214" s="18"/>
      <c r="W214" s="18"/>
      <c r="AB214" s="18"/>
    </row>
    <row r="215" spans="1:28" ht="15.75">
      <c r="A215" s="18"/>
      <c r="B215" s="23"/>
      <c r="C215" s="22"/>
      <c r="D215" s="23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18"/>
      <c r="V215" s="18"/>
      <c r="W215" s="18"/>
      <c r="AB215" s="18"/>
    </row>
    <row r="216" spans="1:28" ht="15.75">
      <c r="A216" s="18"/>
      <c r="B216" s="23"/>
      <c r="C216" s="22"/>
      <c r="D216" s="23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18"/>
      <c r="V216" s="18"/>
      <c r="W216" s="18"/>
      <c r="AB216" s="18"/>
    </row>
    <row r="217" spans="1:28" ht="15.75">
      <c r="A217" s="18"/>
      <c r="B217" s="23"/>
      <c r="C217" s="22"/>
      <c r="D217" s="23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18"/>
      <c r="V217" s="18"/>
      <c r="W217" s="18"/>
      <c r="AB217" s="18"/>
    </row>
    <row r="218" spans="1:28" ht="15.75">
      <c r="A218" s="18"/>
      <c r="B218" s="23"/>
      <c r="C218" s="22"/>
      <c r="D218" s="23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18"/>
      <c r="V218" s="18"/>
      <c r="W218" s="18"/>
      <c r="AB218" s="18"/>
    </row>
    <row r="219" spans="1:28" ht="15.75">
      <c r="A219" s="18"/>
      <c r="B219" s="23"/>
      <c r="C219" s="22"/>
      <c r="D219" s="23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18"/>
      <c r="V219" s="18"/>
      <c r="W219" s="18"/>
      <c r="AB219" s="18"/>
    </row>
    <row r="220" spans="1:28" ht="15.75">
      <c r="A220" s="18"/>
      <c r="B220" s="23"/>
      <c r="C220" s="22"/>
      <c r="D220" s="23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18"/>
      <c r="V220" s="18"/>
      <c r="W220" s="18"/>
      <c r="AB220" s="18"/>
    </row>
    <row r="221" spans="1:28" ht="15.75">
      <c r="A221" s="18"/>
      <c r="B221" s="23"/>
      <c r="C221" s="22"/>
      <c r="D221" s="23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18"/>
      <c r="V221" s="18"/>
      <c r="W221" s="18"/>
      <c r="AB221" s="18"/>
    </row>
    <row r="222" spans="1:28" ht="15.75">
      <c r="A222" s="18"/>
      <c r="B222" s="23"/>
      <c r="C222" s="22"/>
      <c r="D222" s="23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18"/>
      <c r="V222" s="18"/>
      <c r="W222" s="18"/>
      <c r="AB222" s="18"/>
    </row>
    <row r="223" spans="1:28" ht="15.75">
      <c r="A223" s="18"/>
      <c r="B223" s="23"/>
      <c r="C223" s="22"/>
      <c r="D223" s="23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18"/>
      <c r="V223" s="18"/>
      <c r="W223" s="18"/>
      <c r="AB223" s="18"/>
    </row>
    <row r="224" spans="1:28" ht="15.75">
      <c r="A224" s="18"/>
      <c r="B224" s="23"/>
      <c r="C224" s="22"/>
      <c r="D224" s="23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18"/>
      <c r="V224" s="18"/>
      <c r="W224" s="18"/>
      <c r="AB224" s="18"/>
    </row>
    <row r="225" spans="1:28" ht="15.75">
      <c r="A225" s="18"/>
      <c r="B225" s="23"/>
      <c r="C225" s="22"/>
      <c r="D225" s="23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18"/>
      <c r="V225" s="18"/>
      <c r="W225" s="18"/>
      <c r="AB225" s="18"/>
    </row>
    <row r="226" spans="1:28" ht="15.75">
      <c r="A226" s="18"/>
      <c r="B226" s="23"/>
      <c r="C226" s="22"/>
      <c r="D226" s="23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18"/>
      <c r="V226" s="18"/>
      <c r="W226" s="18"/>
      <c r="AB226" s="18"/>
    </row>
    <row r="227" spans="1:28" ht="15.75">
      <c r="A227" s="18"/>
      <c r="B227" s="23"/>
      <c r="C227" s="22"/>
      <c r="D227" s="23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18"/>
      <c r="V227" s="18"/>
      <c r="W227" s="18"/>
      <c r="AB227" s="18"/>
    </row>
    <row r="228" spans="1:28" ht="15.75">
      <c r="A228" s="18"/>
      <c r="B228" s="23"/>
      <c r="C228" s="22"/>
      <c r="D228" s="23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18"/>
      <c r="V228" s="18"/>
      <c r="W228" s="18"/>
      <c r="AB228" s="18"/>
    </row>
    <row r="229" spans="1:28" ht="15.75">
      <c r="A229" s="18"/>
      <c r="B229" s="23"/>
      <c r="C229" s="22"/>
      <c r="D229" s="23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18"/>
      <c r="V229" s="18"/>
      <c r="W229" s="18"/>
      <c r="AB229" s="18"/>
    </row>
    <row r="230" spans="1:28" ht="15.75">
      <c r="A230" s="18"/>
      <c r="B230" s="23"/>
      <c r="C230" s="22"/>
      <c r="D230" s="23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18"/>
      <c r="V230" s="18"/>
      <c r="W230" s="18"/>
      <c r="AB230" s="18"/>
    </row>
    <row r="231" spans="1:28" ht="15.75">
      <c r="A231" s="18"/>
      <c r="B231" s="23"/>
      <c r="C231" s="22"/>
      <c r="D231" s="23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18"/>
      <c r="V231" s="18"/>
      <c r="W231" s="18"/>
      <c r="AB231" s="18"/>
    </row>
    <row r="232" spans="1:28" ht="15.75">
      <c r="A232" s="18"/>
      <c r="B232" s="23"/>
      <c r="C232" s="22"/>
      <c r="D232" s="23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18"/>
      <c r="V232" s="18"/>
      <c r="W232" s="18"/>
      <c r="AB232" s="18"/>
    </row>
    <row r="233" spans="1:28" ht="15.75">
      <c r="A233" s="18"/>
      <c r="B233" s="23"/>
      <c r="C233" s="22"/>
      <c r="D233" s="23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18"/>
      <c r="V233" s="18"/>
      <c r="W233" s="18"/>
      <c r="AB233" s="18"/>
    </row>
    <row r="234" spans="1:28" ht="15.75">
      <c r="A234" s="18"/>
      <c r="B234" s="23"/>
      <c r="C234" s="22"/>
      <c r="D234" s="23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18"/>
      <c r="V234" s="18"/>
      <c r="W234" s="18"/>
      <c r="AB234" s="18"/>
    </row>
    <row r="235" spans="1:28" ht="15.75">
      <c r="A235" s="18"/>
      <c r="B235" s="23"/>
      <c r="C235" s="22"/>
      <c r="D235" s="23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18"/>
      <c r="V235" s="18"/>
      <c r="W235" s="18"/>
      <c r="AB235" s="18"/>
    </row>
    <row r="236" spans="1:28" ht="15.75">
      <c r="A236" s="18"/>
      <c r="B236" s="23"/>
      <c r="C236" s="22"/>
      <c r="D236" s="23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18"/>
      <c r="V236" s="18"/>
      <c r="W236" s="18"/>
      <c r="AB236" s="18"/>
    </row>
    <row r="237" spans="1:28" ht="15.75">
      <c r="A237" s="18"/>
      <c r="B237" s="23"/>
      <c r="C237" s="22"/>
      <c r="D237" s="23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18"/>
      <c r="V237" s="18"/>
      <c r="W237" s="18"/>
      <c r="AB237" s="18"/>
    </row>
    <row r="238" spans="1:28" ht="15.75">
      <c r="A238" s="18"/>
      <c r="B238" s="23"/>
      <c r="C238" s="22"/>
      <c r="D238" s="23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18"/>
      <c r="V238" s="18"/>
      <c r="W238" s="18"/>
      <c r="AB238" s="18"/>
    </row>
    <row r="239" spans="1:28" ht="15.75">
      <c r="A239" s="18"/>
      <c r="B239" s="23"/>
      <c r="C239" s="22"/>
      <c r="D239" s="23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18"/>
      <c r="V239" s="18"/>
      <c r="W239" s="18"/>
      <c r="AB239" s="18"/>
    </row>
    <row r="240" spans="1:28" ht="15.75">
      <c r="A240" s="18"/>
      <c r="B240" s="23"/>
      <c r="C240" s="22"/>
      <c r="D240" s="23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18"/>
      <c r="V240" s="18"/>
      <c r="W240" s="18"/>
      <c r="AB240" s="18"/>
    </row>
    <row r="241" spans="1:28" ht="15.75">
      <c r="A241" s="18"/>
      <c r="B241" s="23"/>
      <c r="C241" s="22"/>
      <c r="D241" s="23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18"/>
      <c r="V241" s="18"/>
      <c r="W241" s="18"/>
      <c r="AB241" s="18"/>
    </row>
    <row r="242" spans="1:28" ht="15.75">
      <c r="A242" s="18"/>
      <c r="B242" s="23"/>
      <c r="C242" s="22"/>
      <c r="D242" s="23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18"/>
      <c r="V242" s="18"/>
      <c r="W242" s="18"/>
      <c r="AB242" s="18"/>
    </row>
    <row r="243" spans="1:28" ht="15.75">
      <c r="A243" s="18"/>
      <c r="B243" s="23"/>
      <c r="C243" s="22"/>
      <c r="D243" s="23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18"/>
      <c r="V243" s="18"/>
      <c r="W243" s="18"/>
      <c r="AB243" s="18"/>
    </row>
    <row r="244" spans="1:28" ht="15.75">
      <c r="A244" s="18"/>
      <c r="B244" s="23"/>
      <c r="C244" s="22"/>
      <c r="D244" s="23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18"/>
      <c r="V244" s="18"/>
      <c r="W244" s="18"/>
      <c r="AB244" s="18"/>
    </row>
    <row r="245" spans="1:28" ht="15.75">
      <c r="A245" s="18"/>
      <c r="B245" s="23"/>
      <c r="C245" s="22"/>
      <c r="D245" s="23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18"/>
      <c r="V245" s="18"/>
      <c r="W245" s="18"/>
      <c r="AB245" s="18"/>
    </row>
    <row r="246" spans="1:28" ht="15.75">
      <c r="A246" s="18"/>
      <c r="B246" s="23"/>
      <c r="C246" s="22"/>
      <c r="D246" s="23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18"/>
      <c r="V246" s="18"/>
      <c r="W246" s="18"/>
      <c r="AB246" s="18"/>
    </row>
    <row r="247" spans="1:28" ht="15.75">
      <c r="A247" s="18"/>
      <c r="B247" s="23"/>
      <c r="C247" s="22"/>
      <c r="D247" s="23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18"/>
      <c r="V247" s="18"/>
      <c r="W247" s="18"/>
      <c r="AB247" s="18"/>
    </row>
    <row r="248" spans="1:28" ht="15.75">
      <c r="A248" s="18"/>
      <c r="B248" s="23"/>
      <c r="C248" s="22"/>
      <c r="D248" s="23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18"/>
      <c r="V248" s="18"/>
      <c r="W248" s="18"/>
      <c r="AB248" s="18"/>
    </row>
    <row r="249" spans="1:28" ht="15.75">
      <c r="A249" s="18"/>
      <c r="B249" s="23"/>
      <c r="C249" s="22"/>
      <c r="D249" s="23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18"/>
      <c r="V249" s="18"/>
      <c r="W249" s="18"/>
      <c r="AB249" s="18"/>
    </row>
    <row r="250" spans="1:28" ht="15.75">
      <c r="A250" s="18"/>
      <c r="B250" s="23"/>
      <c r="C250" s="22"/>
      <c r="D250" s="23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18"/>
      <c r="V250" s="18"/>
      <c r="W250" s="18"/>
      <c r="AB250" s="18"/>
    </row>
    <row r="251" spans="1:28" ht="15.75">
      <c r="A251" s="18"/>
      <c r="B251" s="23"/>
      <c r="C251" s="22"/>
      <c r="D251" s="23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18"/>
      <c r="V251" s="18"/>
      <c r="W251" s="18"/>
      <c r="AB251" s="18"/>
    </row>
    <row r="252" spans="1:28" ht="15.75">
      <c r="A252" s="18"/>
      <c r="B252" s="23"/>
      <c r="C252" s="22"/>
      <c r="D252" s="23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18"/>
      <c r="V252" s="18"/>
      <c r="W252" s="18"/>
      <c r="AB252" s="18"/>
    </row>
    <row r="253" spans="1:28" ht="15.75">
      <c r="A253" s="18"/>
      <c r="B253" s="23"/>
      <c r="C253" s="22"/>
      <c r="D253" s="23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18"/>
      <c r="V253" s="18"/>
      <c r="W253" s="18"/>
      <c r="AB253" s="18"/>
    </row>
    <row r="254" spans="1:28" ht="15.75">
      <c r="A254" s="18"/>
      <c r="B254" s="23"/>
      <c r="C254" s="22"/>
      <c r="D254" s="23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18"/>
      <c r="V254" s="18"/>
      <c r="W254" s="18"/>
      <c r="AB254" s="18"/>
    </row>
    <row r="255" spans="1:28" ht="15.75">
      <c r="A255" s="18"/>
      <c r="B255" s="23"/>
      <c r="C255" s="22"/>
      <c r="D255" s="23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18"/>
      <c r="V255" s="18"/>
      <c r="W255" s="18"/>
      <c r="AB255" s="18"/>
    </row>
    <row r="256" spans="1:28" ht="15.75">
      <c r="A256" s="18"/>
      <c r="B256" s="23"/>
      <c r="C256" s="22"/>
      <c r="D256" s="23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18"/>
      <c r="V256" s="18"/>
      <c r="W256" s="18"/>
      <c r="AB256" s="18"/>
    </row>
    <row r="257" spans="1:28" ht="15.75">
      <c r="A257" s="18"/>
      <c r="B257" s="23"/>
      <c r="C257" s="22"/>
      <c r="D257" s="23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18"/>
      <c r="V257" s="18"/>
      <c r="W257" s="18"/>
      <c r="AB257" s="18"/>
    </row>
    <row r="258" spans="1:28" ht="15.75">
      <c r="A258" s="18"/>
      <c r="B258" s="23"/>
      <c r="C258" s="22"/>
      <c r="D258" s="23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18"/>
      <c r="V258" s="18"/>
      <c r="W258" s="18"/>
      <c r="AB258" s="18"/>
    </row>
    <row r="259" spans="1:28" ht="15.75">
      <c r="A259" s="18"/>
      <c r="B259" s="23"/>
      <c r="C259" s="22"/>
      <c r="D259" s="23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18"/>
      <c r="V259" s="18"/>
      <c r="W259" s="18"/>
      <c r="AB259" s="18"/>
    </row>
    <row r="260" spans="1:28" ht="15.75">
      <c r="A260" s="18"/>
      <c r="B260" s="23"/>
      <c r="C260" s="22"/>
      <c r="D260" s="23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18"/>
      <c r="V260" s="18"/>
      <c r="W260" s="18"/>
      <c r="AB260" s="18"/>
    </row>
    <row r="261" spans="1:28" ht="15.75">
      <c r="A261" s="18"/>
      <c r="B261" s="23"/>
      <c r="C261" s="22"/>
      <c r="D261" s="23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18"/>
      <c r="V261" s="18"/>
      <c r="W261" s="18"/>
      <c r="AB261" s="18"/>
    </row>
    <row r="262" spans="1:28" ht="15.75">
      <c r="A262" s="18"/>
      <c r="B262" s="23"/>
      <c r="C262" s="22"/>
      <c r="D262" s="23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18"/>
      <c r="V262" s="18"/>
      <c r="W262" s="18"/>
      <c r="AB262" s="18"/>
    </row>
    <row r="263" spans="1:28" ht="15.75">
      <c r="A263" s="18"/>
      <c r="B263" s="23"/>
      <c r="C263" s="22"/>
      <c r="D263" s="23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18"/>
      <c r="V263" s="18"/>
      <c r="W263" s="18"/>
      <c r="AB263" s="18"/>
    </row>
    <row r="264" spans="1:28" ht="15.75">
      <c r="A264" s="18"/>
      <c r="B264" s="23"/>
      <c r="C264" s="22"/>
      <c r="D264" s="23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18"/>
      <c r="V264" s="18"/>
      <c r="W264" s="18"/>
      <c r="AB264" s="18"/>
    </row>
    <row r="265" spans="1:28" ht="15.75">
      <c r="A265" s="18"/>
      <c r="B265" s="23"/>
      <c r="C265" s="22"/>
      <c r="D265" s="23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18"/>
      <c r="V265" s="18"/>
      <c r="W265" s="18"/>
      <c r="AB265" s="18"/>
    </row>
    <row r="266" spans="1:28" ht="15.75">
      <c r="A266" s="18"/>
      <c r="B266" s="23"/>
      <c r="C266" s="22"/>
      <c r="D266" s="23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18"/>
      <c r="V266" s="18"/>
      <c r="W266" s="18"/>
      <c r="AB266" s="18"/>
    </row>
    <row r="267" spans="1:28" ht="15.75">
      <c r="A267" s="18"/>
      <c r="B267" s="23"/>
      <c r="C267" s="22"/>
      <c r="D267" s="23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18"/>
      <c r="V267" s="18"/>
      <c r="W267" s="18"/>
      <c r="AB267" s="18"/>
    </row>
    <row r="268" spans="1:28" ht="15.75">
      <c r="A268" s="18"/>
      <c r="B268" s="23"/>
      <c r="C268" s="22"/>
      <c r="D268" s="23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18"/>
      <c r="V268" s="18"/>
      <c r="W268" s="18"/>
      <c r="AB268" s="18"/>
    </row>
    <row r="269" spans="1:28" ht="15.75">
      <c r="A269" s="18"/>
      <c r="B269" s="23"/>
      <c r="C269" s="22"/>
      <c r="D269" s="23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18"/>
      <c r="V269" s="18"/>
      <c r="W269" s="18"/>
      <c r="AB269" s="18"/>
    </row>
    <row r="270" spans="1:28" ht="15.75">
      <c r="A270" s="18"/>
      <c r="B270" s="23"/>
      <c r="C270" s="22"/>
      <c r="D270" s="23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18"/>
      <c r="V270" s="18"/>
      <c r="W270" s="18"/>
      <c r="AB270" s="18"/>
    </row>
    <row r="271" spans="1:28" ht="15.75">
      <c r="A271" s="18"/>
      <c r="B271" s="23"/>
      <c r="C271" s="22"/>
      <c r="D271" s="23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18"/>
      <c r="V271" s="18"/>
      <c r="W271" s="18"/>
      <c r="AB271" s="18"/>
    </row>
    <row r="272" spans="1:28" ht="15.75">
      <c r="A272" s="18"/>
      <c r="B272" s="23"/>
      <c r="C272" s="22"/>
      <c r="D272" s="23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18"/>
      <c r="V272" s="18"/>
      <c r="W272" s="18"/>
      <c r="AB272" s="18"/>
    </row>
    <row r="273" spans="1:28" ht="15.75">
      <c r="A273" s="18"/>
      <c r="B273" s="23"/>
      <c r="C273" s="22"/>
      <c r="D273" s="23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18"/>
      <c r="V273" s="18"/>
      <c r="W273" s="18"/>
      <c r="AB273" s="18"/>
    </row>
    <row r="274" spans="1:28" ht="15.75">
      <c r="A274" s="18"/>
      <c r="B274" s="23"/>
      <c r="C274" s="22"/>
      <c r="D274" s="23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18"/>
      <c r="V274" s="18"/>
      <c r="W274" s="18"/>
      <c r="AB274" s="18"/>
    </row>
    <row r="275" spans="1:28" ht="15.75">
      <c r="A275" s="18"/>
      <c r="B275" s="23"/>
      <c r="C275" s="22"/>
      <c r="D275" s="23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18"/>
      <c r="V275" s="18"/>
      <c r="W275" s="18"/>
      <c r="AB275" s="18"/>
    </row>
    <row r="276" spans="1:28" ht="15.75">
      <c r="A276" s="18"/>
      <c r="B276" s="23"/>
      <c r="C276" s="22"/>
      <c r="D276" s="23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18"/>
      <c r="V276" s="18"/>
      <c r="W276" s="18"/>
      <c r="AB276" s="18"/>
    </row>
    <row r="277" spans="1:28" ht="15.75">
      <c r="A277" s="18"/>
      <c r="B277" s="23"/>
      <c r="C277" s="22"/>
      <c r="D277" s="23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18"/>
      <c r="V277" s="18"/>
      <c r="W277" s="18"/>
      <c r="AB277" s="18"/>
    </row>
    <row r="278" spans="1:28" ht="15.75">
      <c r="A278" s="18"/>
      <c r="B278" s="23"/>
      <c r="C278" s="22"/>
      <c r="D278" s="23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18"/>
      <c r="V278" s="18"/>
      <c r="W278" s="18"/>
      <c r="AB278" s="18"/>
    </row>
    <row r="279" spans="1:28" ht="15.75">
      <c r="A279" s="18"/>
      <c r="B279" s="23"/>
      <c r="C279" s="22"/>
      <c r="D279" s="23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18"/>
      <c r="V279" s="18"/>
      <c r="W279" s="18"/>
      <c r="AB279" s="18"/>
    </row>
    <row r="280" spans="1:28" ht="15.75">
      <c r="A280" s="18"/>
      <c r="B280" s="23"/>
      <c r="C280" s="22"/>
      <c r="D280" s="23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18"/>
      <c r="V280" s="18"/>
      <c r="W280" s="18"/>
      <c r="AB280" s="18"/>
    </row>
    <row r="281" spans="1:28" ht="15.75">
      <c r="A281" s="18"/>
      <c r="B281" s="23"/>
      <c r="C281" s="22"/>
      <c r="D281" s="23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18"/>
      <c r="V281" s="18"/>
      <c r="W281" s="18"/>
      <c r="AB281" s="18"/>
    </row>
    <row r="282" spans="1:28" ht="15.75">
      <c r="A282" s="18"/>
      <c r="B282" s="23"/>
      <c r="C282" s="22"/>
      <c r="D282" s="23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18"/>
      <c r="V282" s="18"/>
      <c r="W282" s="18"/>
      <c r="AB282" s="18"/>
    </row>
    <row r="283" spans="1:28" ht="15.75">
      <c r="A283" s="18"/>
      <c r="B283" s="23"/>
      <c r="C283" s="22"/>
      <c r="D283" s="23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18"/>
      <c r="V283" s="18"/>
      <c r="W283" s="18"/>
      <c r="AB283" s="18"/>
    </row>
    <row r="284" spans="1:28" ht="15.75">
      <c r="A284" s="18"/>
      <c r="B284" s="23"/>
      <c r="C284" s="22"/>
      <c r="D284" s="23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18"/>
      <c r="V284" s="18"/>
      <c r="W284" s="18"/>
      <c r="AB284" s="18"/>
    </row>
    <row r="285" spans="1:28" ht="15.75">
      <c r="A285" s="18"/>
      <c r="B285" s="23"/>
      <c r="C285" s="22"/>
      <c r="D285" s="23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18"/>
      <c r="V285" s="18"/>
      <c r="W285" s="18"/>
      <c r="AB285" s="18"/>
    </row>
    <row r="286" spans="1:28" ht="15.75">
      <c r="A286" s="18"/>
      <c r="B286" s="23"/>
      <c r="C286" s="22"/>
      <c r="D286" s="23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18"/>
      <c r="V286" s="18"/>
      <c r="W286" s="18"/>
      <c r="AB286" s="18"/>
    </row>
    <row r="287" spans="1:28" ht="15.75">
      <c r="A287" s="18"/>
      <c r="B287" s="23"/>
      <c r="C287" s="22"/>
      <c r="D287" s="23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18"/>
      <c r="V287" s="18"/>
      <c r="W287" s="18"/>
      <c r="AB287" s="18"/>
    </row>
    <row r="288" spans="1:28" ht="15.75">
      <c r="A288" s="18"/>
      <c r="B288" s="23"/>
      <c r="C288" s="22"/>
      <c r="D288" s="23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18"/>
      <c r="V288" s="18"/>
      <c r="W288" s="18"/>
      <c r="AB288" s="18"/>
    </row>
    <row r="289" spans="1:28" ht="15.75">
      <c r="A289" s="18"/>
      <c r="B289" s="23"/>
      <c r="C289" s="22"/>
      <c r="D289" s="23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18"/>
      <c r="V289" s="18"/>
      <c r="W289" s="18"/>
      <c r="AB289" s="18"/>
    </row>
    <row r="290" spans="1:28" ht="15.75">
      <c r="A290" s="18"/>
      <c r="B290" s="23"/>
      <c r="C290" s="22"/>
      <c r="D290" s="23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18"/>
      <c r="V290" s="18"/>
      <c r="W290" s="18"/>
      <c r="AB290" s="18"/>
    </row>
    <row r="291" spans="1:28" ht="15.75">
      <c r="A291" s="18"/>
      <c r="B291" s="23"/>
      <c r="C291" s="22"/>
      <c r="D291" s="23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18"/>
      <c r="V291" s="18"/>
      <c r="W291" s="18"/>
      <c r="AB291" s="18"/>
    </row>
    <row r="292" spans="1:28" ht="15.75">
      <c r="A292" s="18"/>
      <c r="B292" s="23"/>
      <c r="C292" s="22"/>
      <c r="D292" s="23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18"/>
      <c r="V292" s="18"/>
      <c r="W292" s="18"/>
      <c r="AB292" s="18"/>
    </row>
    <row r="293" spans="1:28" ht="15.75">
      <c r="A293" s="18"/>
      <c r="B293" s="23"/>
      <c r="C293" s="22"/>
      <c r="D293" s="23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18"/>
      <c r="V293" s="18"/>
      <c r="W293" s="18"/>
      <c r="AB293" s="18"/>
    </row>
    <row r="294" spans="1:28" ht="15.75">
      <c r="A294" s="18"/>
      <c r="B294" s="23"/>
      <c r="C294" s="22"/>
      <c r="D294" s="23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18"/>
      <c r="V294" s="18"/>
      <c r="W294" s="18"/>
      <c r="AB294" s="18"/>
    </row>
    <row r="295" spans="1:28" ht="15.75">
      <c r="A295" s="18"/>
      <c r="B295" s="23"/>
      <c r="C295" s="22"/>
      <c r="D295" s="23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18"/>
      <c r="V295" s="18"/>
      <c r="W295" s="18"/>
      <c r="AB295" s="18"/>
    </row>
    <row r="296" spans="1:28" ht="15.75">
      <c r="A296" s="18"/>
      <c r="B296" s="23"/>
      <c r="C296" s="22"/>
      <c r="D296" s="23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18"/>
      <c r="V296" s="18"/>
      <c r="W296" s="18"/>
      <c r="AB296" s="18"/>
    </row>
    <row r="297" spans="1:28" ht="15.75">
      <c r="A297" s="18"/>
      <c r="B297" s="23"/>
      <c r="C297" s="22"/>
      <c r="D297" s="23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18"/>
      <c r="V297" s="18"/>
      <c r="W297" s="18"/>
      <c r="AB297" s="18"/>
    </row>
    <row r="298" spans="1:28" ht="15.75">
      <c r="A298" s="18"/>
      <c r="B298" s="23"/>
      <c r="C298" s="22"/>
      <c r="D298" s="23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18"/>
      <c r="V298" s="18"/>
      <c r="W298" s="18"/>
      <c r="AB298" s="18"/>
    </row>
    <row r="299" spans="1:28" ht="15.75">
      <c r="A299" s="18"/>
      <c r="B299" s="23"/>
      <c r="C299" s="22"/>
      <c r="D299" s="23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18"/>
      <c r="V299" s="18"/>
      <c r="W299" s="18"/>
      <c r="AB299" s="18"/>
    </row>
    <row r="300" spans="1:28" ht="15.75">
      <c r="A300" s="18"/>
      <c r="B300" s="23"/>
      <c r="C300" s="22"/>
      <c r="D300" s="23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18"/>
      <c r="V300" s="18"/>
      <c r="W300" s="18"/>
      <c r="AB300" s="18"/>
    </row>
    <row r="301" spans="1:28" ht="15.75">
      <c r="A301" s="18"/>
      <c r="B301" s="23"/>
      <c r="C301" s="22"/>
      <c r="D301" s="23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18"/>
      <c r="V301" s="18"/>
      <c r="W301" s="18"/>
      <c r="AB301" s="18"/>
    </row>
    <row r="302" spans="1:28" ht="15.75">
      <c r="A302" s="18"/>
      <c r="B302" s="23"/>
      <c r="C302" s="22"/>
      <c r="D302" s="23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18"/>
      <c r="V302" s="18"/>
      <c r="W302" s="18"/>
      <c r="AB302" s="18"/>
    </row>
    <row r="303" spans="1:28" ht="15.75">
      <c r="A303" s="18"/>
      <c r="B303" s="23"/>
      <c r="C303" s="22"/>
      <c r="D303" s="23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18"/>
      <c r="V303" s="18"/>
      <c r="W303" s="18"/>
      <c r="AB303" s="18"/>
    </row>
    <row r="304" spans="1:28" ht="15.75">
      <c r="A304" s="18"/>
      <c r="B304" s="23"/>
      <c r="C304" s="22"/>
      <c r="D304" s="23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18"/>
      <c r="V304" s="18"/>
      <c r="W304" s="18"/>
      <c r="AB304" s="18"/>
    </row>
    <row r="305" spans="1:28" ht="15.75">
      <c r="A305" s="18"/>
      <c r="B305" s="23"/>
      <c r="C305" s="22"/>
      <c r="D305" s="23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18"/>
      <c r="V305" s="18"/>
      <c r="W305" s="18"/>
      <c r="AB305" s="18"/>
    </row>
    <row r="306" spans="1:28" ht="15.75">
      <c r="A306" s="18"/>
      <c r="B306" s="23"/>
      <c r="C306" s="22"/>
      <c r="D306" s="23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18"/>
      <c r="V306" s="18"/>
      <c r="W306" s="18"/>
      <c r="AB306" s="18"/>
    </row>
    <row r="307" spans="1:28" ht="15.75">
      <c r="A307" s="18"/>
      <c r="B307" s="23"/>
      <c r="C307" s="22"/>
      <c r="D307" s="23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18"/>
      <c r="V307" s="18"/>
      <c r="W307" s="18"/>
      <c r="AB307" s="18"/>
    </row>
    <row r="308" spans="1:28" ht="15.75">
      <c r="A308" s="18"/>
      <c r="B308" s="23"/>
      <c r="C308" s="22"/>
      <c r="D308" s="23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18"/>
      <c r="V308" s="18"/>
      <c r="W308" s="18"/>
      <c r="AB308" s="18"/>
    </row>
    <row r="309" spans="1:28" ht="15.75">
      <c r="A309" s="18"/>
      <c r="B309" s="23"/>
      <c r="C309" s="22"/>
      <c r="D309" s="23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18"/>
      <c r="V309" s="18"/>
      <c r="W309" s="18"/>
      <c r="AB309" s="18"/>
    </row>
    <row r="310" spans="1:28" ht="15.75">
      <c r="A310" s="18"/>
      <c r="B310" s="23"/>
      <c r="C310" s="22"/>
      <c r="D310" s="23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18"/>
      <c r="V310" s="18"/>
      <c r="W310" s="18"/>
      <c r="AB310" s="18"/>
    </row>
    <row r="311" spans="1:28" ht="15.75">
      <c r="A311" s="18"/>
      <c r="B311" s="23"/>
      <c r="C311" s="22"/>
      <c r="D311" s="23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18"/>
      <c r="V311" s="18"/>
      <c r="W311" s="18"/>
      <c r="AB311" s="18"/>
    </row>
    <row r="312" spans="1:28" ht="15.75">
      <c r="A312" s="18"/>
      <c r="B312" s="23"/>
      <c r="C312" s="22"/>
      <c r="D312" s="23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18"/>
      <c r="V312" s="18"/>
      <c r="W312" s="18"/>
      <c r="AB312" s="18"/>
    </row>
    <row r="313" spans="1:28" ht="15.75">
      <c r="A313" s="18"/>
      <c r="B313" s="23"/>
      <c r="C313" s="22"/>
      <c r="D313" s="23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18"/>
      <c r="V313" s="18"/>
      <c r="W313" s="18"/>
      <c r="AB313" s="18"/>
    </row>
    <row r="314" spans="1:28" ht="15.75">
      <c r="A314" s="18"/>
      <c r="B314" s="23"/>
      <c r="C314" s="22"/>
      <c r="D314" s="23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18"/>
      <c r="V314" s="18"/>
      <c r="W314" s="18"/>
      <c r="AB314" s="18"/>
    </row>
    <row r="315" spans="1:28" ht="15.75">
      <c r="A315" s="18"/>
      <c r="B315" s="23"/>
      <c r="C315" s="22"/>
      <c r="D315" s="23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18"/>
      <c r="V315" s="18"/>
      <c r="W315" s="18"/>
      <c r="AB315" s="18"/>
    </row>
    <row r="316" spans="1:28" ht="15.75">
      <c r="A316" s="18"/>
      <c r="B316" s="23"/>
      <c r="C316" s="22"/>
      <c r="D316" s="23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18"/>
      <c r="V316" s="18"/>
      <c r="W316" s="18"/>
      <c r="AB316" s="18"/>
    </row>
    <row r="317" spans="1:28" ht="15.75">
      <c r="A317" s="18"/>
      <c r="B317" s="23"/>
      <c r="C317" s="22"/>
      <c r="D317" s="23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18"/>
      <c r="V317" s="18"/>
      <c r="W317" s="18"/>
      <c r="AB317" s="18"/>
    </row>
    <row r="318" spans="1:28" ht="15.75">
      <c r="A318" s="18"/>
      <c r="B318" s="23"/>
      <c r="C318" s="22"/>
      <c r="D318" s="23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18"/>
      <c r="V318" s="18"/>
      <c r="W318" s="18"/>
      <c r="AB318" s="18"/>
    </row>
    <row r="319" spans="1:28" ht="15.75">
      <c r="A319" s="18"/>
      <c r="B319" s="23"/>
      <c r="C319" s="22"/>
      <c r="D319" s="23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18"/>
      <c r="V319" s="18"/>
      <c r="W319" s="18"/>
      <c r="AB319" s="18"/>
    </row>
    <row r="320" spans="1:28" ht="15.75">
      <c r="A320" s="18"/>
      <c r="B320" s="23"/>
      <c r="C320" s="22"/>
      <c r="D320" s="23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18"/>
      <c r="V320" s="18"/>
      <c r="W320" s="18"/>
      <c r="AB320" s="18"/>
    </row>
    <row r="321" spans="1:28" ht="15.75">
      <c r="A321" s="18"/>
      <c r="B321" s="23"/>
      <c r="C321" s="22"/>
      <c r="D321" s="23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18"/>
      <c r="V321" s="18"/>
      <c r="W321" s="18"/>
      <c r="AB321" s="18"/>
    </row>
    <row r="322" spans="1:28" ht="15.75">
      <c r="A322" s="18"/>
      <c r="B322" s="23"/>
      <c r="C322" s="22"/>
      <c r="D322" s="23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18"/>
      <c r="V322" s="18"/>
      <c r="W322" s="18"/>
      <c r="AB322" s="18"/>
    </row>
    <row r="323" spans="1:28" ht="15.75">
      <c r="A323" s="18"/>
      <c r="B323" s="23"/>
      <c r="C323" s="22"/>
      <c r="D323" s="23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18"/>
      <c r="V323" s="18"/>
      <c r="W323" s="18"/>
      <c r="AB323" s="18"/>
    </row>
    <row r="324" spans="1:28" ht="15.75">
      <c r="A324" s="18"/>
      <c r="B324" s="23"/>
      <c r="C324" s="22"/>
      <c r="D324" s="23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18"/>
      <c r="V324" s="18"/>
      <c r="W324" s="18"/>
      <c r="AB324" s="18"/>
    </row>
    <row r="325" spans="1:28" ht="15.75">
      <c r="A325" s="18"/>
      <c r="B325" s="23"/>
      <c r="C325" s="22"/>
      <c r="D325" s="23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18"/>
      <c r="V325" s="18"/>
      <c r="W325" s="18"/>
      <c r="AB325" s="18"/>
    </row>
    <row r="326" spans="1:28" ht="15.75">
      <c r="A326" s="18"/>
      <c r="B326" s="23"/>
      <c r="C326" s="22"/>
      <c r="D326" s="23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18"/>
      <c r="V326" s="18"/>
      <c r="W326" s="18"/>
      <c r="AB326" s="18"/>
    </row>
    <row r="327" spans="1:28" ht="15.75">
      <c r="A327" s="18"/>
      <c r="B327" s="23"/>
      <c r="C327" s="22"/>
      <c r="D327" s="23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18"/>
      <c r="V327" s="18"/>
      <c r="W327" s="18"/>
      <c r="AB327" s="18"/>
    </row>
    <row r="328" spans="1:28" ht="15.75">
      <c r="A328" s="18"/>
      <c r="B328" s="23"/>
      <c r="C328" s="22"/>
      <c r="D328" s="23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18"/>
      <c r="V328" s="18"/>
      <c r="W328" s="18"/>
      <c r="AB328" s="18"/>
    </row>
    <row r="329" spans="1:28" ht="15.75">
      <c r="A329" s="18"/>
      <c r="B329" s="23"/>
      <c r="C329" s="22"/>
      <c r="D329" s="23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18"/>
      <c r="V329" s="18"/>
      <c r="W329" s="18"/>
      <c r="AB329" s="18"/>
    </row>
    <row r="330" spans="1:28" ht="15.75">
      <c r="A330" s="18"/>
      <c r="B330" s="23"/>
      <c r="C330" s="22"/>
      <c r="D330" s="23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18"/>
      <c r="V330" s="18"/>
      <c r="W330" s="18"/>
      <c r="AB330" s="18"/>
    </row>
    <row r="331" spans="1:28" ht="15.75">
      <c r="A331" s="18"/>
      <c r="B331" s="23"/>
      <c r="C331" s="22"/>
      <c r="D331" s="23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18"/>
      <c r="V331" s="18"/>
      <c r="W331" s="18"/>
      <c r="AB331" s="18"/>
    </row>
    <row r="332" spans="1:28" ht="15.75">
      <c r="A332" s="18"/>
      <c r="B332" s="23"/>
      <c r="C332" s="22"/>
      <c r="D332" s="23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18"/>
      <c r="V332" s="18"/>
      <c r="W332" s="18"/>
      <c r="AB332" s="18"/>
    </row>
    <row r="333" spans="1:28" ht="15.75">
      <c r="A333" s="18"/>
      <c r="B333" s="23"/>
      <c r="C333" s="22"/>
      <c r="D333" s="23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18"/>
      <c r="V333" s="18"/>
      <c r="W333" s="18"/>
      <c r="AB333" s="18"/>
    </row>
    <row r="334" spans="1:28" ht="15.75">
      <c r="A334" s="18"/>
      <c r="B334" s="23"/>
      <c r="C334" s="22"/>
      <c r="D334" s="23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18"/>
      <c r="V334" s="18"/>
      <c r="W334" s="18"/>
      <c r="AB334" s="18"/>
    </row>
    <row r="335" spans="1:28" ht="15.75">
      <c r="A335" s="18"/>
      <c r="B335" s="23"/>
      <c r="C335" s="22"/>
      <c r="D335" s="23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18"/>
      <c r="V335" s="18"/>
      <c r="W335" s="18"/>
      <c r="AB335" s="18"/>
    </row>
    <row r="336" spans="1:28" ht="15.75">
      <c r="A336" s="18"/>
      <c r="B336" s="23"/>
      <c r="C336" s="22"/>
      <c r="D336" s="23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18"/>
      <c r="V336" s="18"/>
      <c r="W336" s="18"/>
      <c r="AB336" s="18"/>
    </row>
    <row r="337" spans="1:28" ht="15.75">
      <c r="A337" s="18"/>
      <c r="B337" s="23"/>
      <c r="C337" s="22"/>
      <c r="D337" s="23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18"/>
      <c r="V337" s="18"/>
      <c r="W337" s="18"/>
      <c r="AB337" s="18"/>
    </row>
    <row r="338" spans="1:28" ht="15.75">
      <c r="A338" s="18"/>
      <c r="B338" s="23"/>
      <c r="C338" s="22"/>
      <c r="D338" s="23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18"/>
      <c r="V338" s="18"/>
      <c r="W338" s="18"/>
      <c r="AB338" s="18"/>
    </row>
    <row r="339" spans="1:28" ht="15.75">
      <c r="A339" s="18"/>
      <c r="B339" s="23"/>
      <c r="C339" s="22"/>
      <c r="D339" s="23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18"/>
      <c r="V339" s="18"/>
      <c r="W339" s="18"/>
      <c r="AB339" s="18"/>
    </row>
    <row r="340" spans="1:28" ht="15.75">
      <c r="A340" s="18"/>
      <c r="B340" s="23"/>
      <c r="C340" s="22"/>
      <c r="D340" s="23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18"/>
      <c r="V340" s="18"/>
      <c r="W340" s="18"/>
      <c r="AB340" s="18"/>
    </row>
    <row r="341" spans="1:28" ht="15.75">
      <c r="A341" s="18"/>
      <c r="B341" s="23"/>
      <c r="C341" s="22"/>
      <c r="D341" s="23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18"/>
      <c r="V341" s="18"/>
      <c r="W341" s="18"/>
      <c r="AB341" s="18"/>
    </row>
    <row r="342" spans="1:28" ht="15.75">
      <c r="A342" s="18"/>
      <c r="B342" s="23"/>
      <c r="C342" s="22"/>
      <c r="D342" s="23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18"/>
      <c r="V342" s="18"/>
      <c r="W342" s="18"/>
      <c r="AB342" s="18"/>
    </row>
    <row r="343" spans="1:28" ht="15.75">
      <c r="A343" s="18"/>
      <c r="B343" s="23"/>
      <c r="C343" s="22"/>
      <c r="D343" s="23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18"/>
      <c r="V343" s="18"/>
      <c r="W343" s="18"/>
      <c r="AB343" s="18"/>
    </row>
    <row r="344" spans="1:28" ht="15.75">
      <c r="A344" s="18"/>
      <c r="B344" s="23"/>
      <c r="C344" s="22"/>
      <c r="D344" s="23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18"/>
      <c r="V344" s="18"/>
      <c r="W344" s="18"/>
      <c r="AB344" s="18"/>
    </row>
    <row r="345" spans="1:28" ht="15.75">
      <c r="A345" s="18"/>
      <c r="B345" s="23"/>
      <c r="C345" s="22"/>
      <c r="D345" s="23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18"/>
      <c r="V345" s="18"/>
      <c r="W345" s="18"/>
      <c r="AB345" s="18"/>
    </row>
    <row r="346" spans="1:28" ht="15.75">
      <c r="A346" s="18"/>
      <c r="B346" s="23"/>
      <c r="C346" s="22"/>
      <c r="D346" s="23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18"/>
      <c r="V346" s="18"/>
      <c r="W346" s="18"/>
      <c r="AB346" s="18"/>
    </row>
    <row r="347" spans="1:28" ht="15.75">
      <c r="A347" s="18"/>
      <c r="B347" s="23"/>
      <c r="C347" s="22"/>
      <c r="D347" s="23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18"/>
      <c r="V347" s="18"/>
      <c r="W347" s="18"/>
      <c r="AB347" s="18"/>
    </row>
    <row r="348" spans="1:28" ht="15.75">
      <c r="A348" s="18"/>
      <c r="B348" s="23"/>
      <c r="C348" s="22"/>
      <c r="D348" s="23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18"/>
      <c r="V348" s="18"/>
      <c r="W348" s="18"/>
      <c r="AB348" s="18"/>
    </row>
    <row r="349" spans="1:28" ht="15.75">
      <c r="A349" s="18"/>
      <c r="B349" s="23"/>
      <c r="C349" s="22"/>
      <c r="D349" s="23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18"/>
      <c r="V349" s="18"/>
      <c r="W349" s="18"/>
      <c r="AB349" s="18"/>
    </row>
    <row r="350" spans="1:28" ht="15.75">
      <c r="A350" s="18"/>
      <c r="B350" s="23"/>
      <c r="C350" s="22"/>
      <c r="D350" s="23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18"/>
      <c r="V350" s="18"/>
      <c r="W350" s="18"/>
      <c r="AB350" s="18"/>
    </row>
    <row r="351" spans="1:28" ht="15.75">
      <c r="A351" s="18"/>
      <c r="B351" s="23"/>
      <c r="C351" s="22"/>
      <c r="D351" s="23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18"/>
      <c r="V351" s="18"/>
      <c r="W351" s="18"/>
      <c r="AB351" s="18"/>
    </row>
    <row r="352" spans="1:28" ht="15.75">
      <c r="A352" s="18"/>
      <c r="B352" s="23"/>
      <c r="C352" s="22"/>
      <c r="D352" s="23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18"/>
      <c r="V352" s="18"/>
      <c r="W352" s="18"/>
      <c r="AB352" s="18"/>
    </row>
    <row r="353" spans="1:28" ht="15.75">
      <c r="A353" s="18"/>
      <c r="B353" s="23"/>
      <c r="C353" s="22"/>
      <c r="D353" s="23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18"/>
      <c r="V353" s="18"/>
      <c r="W353" s="18"/>
      <c r="AB353" s="18"/>
    </row>
    <row r="354" spans="1:28" ht="15.75">
      <c r="A354" s="18"/>
      <c r="B354" s="23"/>
      <c r="C354" s="22"/>
      <c r="D354" s="23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18"/>
      <c r="V354" s="18"/>
      <c r="W354" s="18"/>
      <c r="AB354" s="18"/>
    </row>
    <row r="355" spans="1:28" ht="15.75">
      <c r="A355" s="18"/>
      <c r="B355" s="23"/>
      <c r="C355" s="22"/>
      <c r="D355" s="23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18"/>
      <c r="V355" s="18"/>
      <c r="W355" s="18"/>
      <c r="AB355" s="18"/>
    </row>
    <row r="356" spans="1:28" ht="15.75">
      <c r="A356" s="18"/>
      <c r="B356" s="23"/>
      <c r="C356" s="22"/>
      <c r="D356" s="23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18"/>
      <c r="V356" s="18"/>
      <c r="W356" s="18"/>
      <c r="AB356" s="18"/>
    </row>
    <row r="357" spans="1:28" ht="15.75">
      <c r="A357" s="18"/>
      <c r="B357" s="23"/>
      <c r="C357" s="22"/>
      <c r="D357" s="23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18"/>
      <c r="V357" s="18"/>
      <c r="W357" s="18"/>
      <c r="AB357" s="18"/>
    </row>
    <row r="358" spans="1:28" ht="15.75">
      <c r="A358" s="18"/>
      <c r="B358" s="23"/>
      <c r="C358" s="22"/>
      <c r="D358" s="23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18"/>
      <c r="V358" s="18"/>
      <c r="W358" s="18"/>
      <c r="AB358" s="18"/>
    </row>
    <row r="359" spans="1:28" ht="15.75">
      <c r="A359" s="18"/>
      <c r="B359" s="23"/>
      <c r="C359" s="22"/>
      <c r="D359" s="23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18"/>
      <c r="V359" s="18"/>
      <c r="W359" s="18"/>
      <c r="AB359" s="18"/>
    </row>
    <row r="360" spans="1:28" ht="15.75">
      <c r="A360" s="18"/>
      <c r="B360" s="23"/>
      <c r="C360" s="22"/>
      <c r="D360" s="23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18"/>
      <c r="V360" s="18"/>
      <c r="W360" s="18"/>
      <c r="AB360" s="18"/>
    </row>
    <row r="361" spans="1:28" ht="15.75">
      <c r="A361" s="18"/>
      <c r="B361" s="23"/>
      <c r="C361" s="22"/>
      <c r="D361" s="23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18"/>
      <c r="V361" s="18"/>
      <c r="W361" s="18"/>
      <c r="AB361" s="18"/>
    </row>
    <row r="362" spans="1:28" ht="15.75">
      <c r="A362" s="18"/>
      <c r="B362" s="23"/>
      <c r="C362" s="22"/>
      <c r="D362" s="23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18"/>
      <c r="V362" s="18"/>
      <c r="W362" s="18"/>
      <c r="AB362" s="18"/>
    </row>
    <row r="363" spans="1:28" ht="15.75">
      <c r="A363" s="18"/>
      <c r="B363" s="23"/>
      <c r="C363" s="22"/>
      <c r="D363" s="23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18"/>
      <c r="V363" s="18"/>
      <c r="W363" s="18"/>
      <c r="AB363" s="18"/>
    </row>
    <row r="364" spans="1:28" ht="15.75">
      <c r="A364" s="18"/>
      <c r="B364" s="23"/>
      <c r="C364" s="22"/>
      <c r="D364" s="23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18"/>
      <c r="V364" s="18"/>
      <c r="W364" s="18"/>
      <c r="AB364" s="18"/>
    </row>
    <row r="365" spans="1:28" ht="15.75">
      <c r="A365" s="18"/>
      <c r="B365" s="23"/>
      <c r="C365" s="22"/>
      <c r="D365" s="23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18"/>
      <c r="V365" s="18"/>
      <c r="W365" s="18"/>
      <c r="AB365" s="18"/>
    </row>
    <row r="366" spans="1:28" ht="15.75">
      <c r="A366" s="18"/>
      <c r="B366" s="23"/>
      <c r="C366" s="22"/>
      <c r="D366" s="23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18"/>
      <c r="V366" s="18"/>
      <c r="W366" s="18"/>
      <c r="AB366" s="18"/>
    </row>
    <row r="367" spans="1:28" ht="15.75">
      <c r="A367" s="18"/>
      <c r="B367" s="23"/>
      <c r="C367" s="22"/>
      <c r="D367" s="23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18"/>
      <c r="V367" s="18"/>
      <c r="W367" s="18"/>
      <c r="AB367" s="18"/>
    </row>
    <row r="368" spans="1:28" ht="15.75">
      <c r="A368" s="18"/>
      <c r="B368" s="23"/>
      <c r="C368" s="22"/>
      <c r="D368" s="23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18"/>
      <c r="V368" s="18"/>
      <c r="W368" s="18"/>
      <c r="AB368" s="18"/>
    </row>
    <row r="369" spans="1:28" ht="15.75">
      <c r="A369" s="18"/>
      <c r="B369" s="23"/>
      <c r="C369" s="22"/>
      <c r="D369" s="23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18"/>
      <c r="V369" s="18"/>
      <c r="W369" s="18"/>
      <c r="AB369" s="18"/>
    </row>
    <row r="370" spans="1:28" ht="15.75">
      <c r="A370" s="18"/>
      <c r="B370" s="23"/>
      <c r="C370" s="22"/>
      <c r="D370" s="23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18"/>
      <c r="V370" s="18"/>
      <c r="W370" s="18"/>
      <c r="AB370" s="18"/>
    </row>
    <row r="371" spans="1:28" ht="15.75">
      <c r="A371" s="18"/>
      <c r="B371" s="23"/>
      <c r="C371" s="22"/>
      <c r="D371" s="23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18"/>
      <c r="V371" s="18"/>
      <c r="W371" s="18"/>
      <c r="AB371" s="18"/>
    </row>
    <row r="372" spans="1:28" ht="15.75">
      <c r="A372" s="18"/>
      <c r="B372" s="23"/>
      <c r="C372" s="22"/>
      <c r="D372" s="23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18"/>
      <c r="V372" s="18"/>
      <c r="W372" s="18"/>
      <c r="AB372" s="18"/>
    </row>
    <row r="373" spans="1:28" ht="15.75">
      <c r="A373" s="18"/>
      <c r="B373" s="23"/>
      <c r="C373" s="22"/>
      <c r="D373" s="23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18"/>
      <c r="V373" s="18"/>
      <c r="W373" s="18"/>
      <c r="AB373" s="18"/>
    </row>
    <row r="374" spans="1:28" ht="15.75">
      <c r="A374" s="18"/>
      <c r="B374" s="23"/>
      <c r="C374" s="22"/>
      <c r="D374" s="23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18"/>
      <c r="V374" s="18"/>
      <c r="W374" s="18"/>
      <c r="AB374" s="18"/>
    </row>
    <row r="375" spans="1:28" ht="15.75">
      <c r="A375" s="18"/>
      <c r="B375" s="23"/>
      <c r="C375" s="22"/>
      <c r="D375" s="23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18"/>
      <c r="V375" s="18"/>
      <c r="W375" s="18"/>
      <c r="AB375" s="18"/>
    </row>
    <row r="376" spans="1:28" ht="15.75">
      <c r="A376" s="18"/>
      <c r="B376" s="23"/>
      <c r="C376" s="22"/>
      <c r="D376" s="23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18"/>
      <c r="V376" s="18"/>
      <c r="W376" s="18"/>
      <c r="AB376" s="18"/>
    </row>
    <row r="377" spans="1:28" ht="15.75">
      <c r="A377" s="18"/>
      <c r="B377" s="23"/>
      <c r="C377" s="22"/>
      <c r="D377" s="23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18"/>
      <c r="V377" s="18"/>
      <c r="W377" s="18"/>
      <c r="AB377" s="18"/>
    </row>
    <row r="378" spans="1:28" ht="15.75">
      <c r="A378" s="18"/>
      <c r="B378" s="23"/>
      <c r="C378" s="22"/>
      <c r="D378" s="23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18"/>
      <c r="V378" s="18"/>
      <c r="W378" s="18"/>
      <c r="AB378" s="18"/>
    </row>
    <row r="379" spans="1:28" ht="15.75">
      <c r="A379" s="18"/>
      <c r="B379" s="23"/>
      <c r="C379" s="22"/>
      <c r="D379" s="23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18"/>
      <c r="V379" s="18"/>
      <c r="W379" s="18"/>
      <c r="AB379" s="18"/>
    </row>
    <row r="380" spans="1:28" ht="15.75">
      <c r="A380" s="18"/>
      <c r="B380" s="23"/>
      <c r="C380" s="22"/>
      <c r="D380" s="23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18"/>
      <c r="V380" s="18"/>
      <c r="W380" s="18"/>
      <c r="AB380" s="18"/>
    </row>
    <row r="381" spans="1:28" ht="15.75">
      <c r="A381" s="18"/>
      <c r="B381" s="23"/>
      <c r="C381" s="22"/>
      <c r="D381" s="23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18"/>
      <c r="V381" s="18"/>
      <c r="W381" s="18"/>
      <c r="AB381" s="18"/>
    </row>
    <row r="382" spans="1:28" ht="15.75">
      <c r="A382" s="18"/>
      <c r="B382" s="23"/>
      <c r="C382" s="22"/>
      <c r="D382" s="23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18"/>
      <c r="V382" s="18"/>
      <c r="W382" s="18"/>
      <c r="AB382" s="18"/>
    </row>
    <row r="383" spans="1:28" ht="15.75">
      <c r="A383" s="18"/>
      <c r="B383" s="23"/>
      <c r="C383" s="22"/>
      <c r="D383" s="23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18"/>
      <c r="V383" s="18"/>
      <c r="W383" s="18"/>
      <c r="AB383" s="18"/>
    </row>
    <row r="384" spans="1:28" ht="15.75">
      <c r="A384" s="18"/>
      <c r="B384" s="23"/>
      <c r="C384" s="22"/>
      <c r="D384" s="23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18"/>
      <c r="V384" s="18"/>
      <c r="W384" s="18"/>
      <c r="AB384" s="18"/>
    </row>
    <row r="385" spans="1:28" ht="15.75">
      <c r="A385" s="18"/>
      <c r="B385" s="23"/>
      <c r="C385" s="22"/>
      <c r="D385" s="23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18"/>
      <c r="V385" s="18"/>
      <c r="W385" s="18"/>
      <c r="AB385" s="18"/>
    </row>
    <row r="386" spans="1:28" ht="15.75">
      <c r="A386" s="18"/>
      <c r="B386" s="23"/>
      <c r="C386" s="22"/>
      <c r="D386" s="23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18"/>
      <c r="V386" s="18"/>
      <c r="W386" s="18"/>
      <c r="AB386" s="18"/>
    </row>
    <row r="387" spans="1:28" ht="15.75">
      <c r="A387" s="18"/>
      <c r="B387" s="23"/>
      <c r="C387" s="22"/>
      <c r="D387" s="23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18"/>
      <c r="V387" s="18"/>
      <c r="W387" s="18"/>
      <c r="AB387" s="18"/>
    </row>
    <row r="388" spans="1:28" ht="15.75">
      <c r="A388" s="18"/>
      <c r="B388" s="23"/>
      <c r="C388" s="22"/>
      <c r="D388" s="23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18"/>
      <c r="V388" s="18"/>
      <c r="W388" s="18"/>
      <c r="AB388" s="18"/>
    </row>
    <row r="389" spans="1:28" ht="15.75">
      <c r="A389" s="18"/>
      <c r="B389" s="23"/>
      <c r="C389" s="22"/>
      <c r="D389" s="23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18"/>
      <c r="V389" s="18"/>
      <c r="W389" s="18"/>
      <c r="AB389" s="18"/>
    </row>
    <row r="390" spans="1:28" ht="15.75">
      <c r="A390" s="18"/>
      <c r="B390" s="23"/>
      <c r="C390" s="22"/>
      <c r="D390" s="23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18"/>
      <c r="V390" s="18"/>
      <c r="W390" s="18"/>
      <c r="AB390" s="18"/>
    </row>
    <row r="391" spans="1:28" ht="15.75">
      <c r="A391" s="18"/>
      <c r="B391" s="23"/>
      <c r="C391" s="22"/>
      <c r="D391" s="23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18"/>
      <c r="V391" s="18"/>
      <c r="W391" s="18"/>
      <c r="AB391" s="18"/>
    </row>
    <row r="392" spans="1:28" ht="15.75">
      <c r="A392" s="18"/>
      <c r="B392" s="23"/>
      <c r="C392" s="22"/>
      <c r="D392" s="23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18"/>
      <c r="V392" s="18"/>
      <c r="W392" s="18"/>
      <c r="AB392" s="18"/>
    </row>
    <row r="393" spans="1:28" ht="15.75">
      <c r="A393" s="18"/>
      <c r="B393" s="23"/>
      <c r="C393" s="22"/>
      <c r="D393" s="23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18"/>
      <c r="V393" s="18"/>
      <c r="W393" s="18"/>
      <c r="AB393" s="18"/>
    </row>
    <row r="394" spans="1:28" ht="15.75">
      <c r="A394" s="18"/>
      <c r="B394" s="23"/>
      <c r="C394" s="22"/>
      <c r="D394" s="23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18"/>
      <c r="V394" s="18"/>
      <c r="W394" s="18"/>
      <c r="AB394" s="18"/>
    </row>
    <row r="395" spans="1:28" ht="15.75">
      <c r="A395" s="18"/>
      <c r="B395" s="23"/>
      <c r="C395" s="22"/>
      <c r="D395" s="23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18"/>
      <c r="V395" s="18"/>
      <c r="W395" s="18"/>
      <c r="AB395" s="18"/>
    </row>
    <row r="396" spans="1:28" ht="15.75">
      <c r="A396" s="18"/>
      <c r="B396" s="23"/>
      <c r="C396" s="22"/>
      <c r="D396" s="23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18"/>
      <c r="V396" s="18"/>
      <c r="W396" s="18"/>
      <c r="AB396" s="18"/>
    </row>
    <row r="397" spans="1:28" ht="15.75">
      <c r="A397" s="18"/>
      <c r="B397" s="23"/>
      <c r="C397" s="22"/>
      <c r="D397" s="23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18"/>
      <c r="V397" s="18"/>
      <c r="W397" s="18"/>
      <c r="AB397" s="18"/>
    </row>
    <row r="398" spans="1:28" ht="15.75">
      <c r="A398" s="18"/>
      <c r="B398" s="23"/>
      <c r="C398" s="22"/>
      <c r="D398" s="23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18"/>
      <c r="V398" s="18"/>
      <c r="W398" s="18"/>
      <c r="AB398" s="18"/>
    </row>
    <row r="399" spans="1:28" ht="15.75">
      <c r="A399" s="18"/>
      <c r="B399" s="23"/>
      <c r="C399" s="22"/>
      <c r="D399" s="23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18"/>
      <c r="V399" s="18"/>
      <c r="W399" s="18"/>
      <c r="AB399" s="18"/>
    </row>
    <row r="400" spans="1:28" ht="15.75">
      <c r="A400" s="18"/>
      <c r="B400" s="23"/>
      <c r="C400" s="22"/>
      <c r="D400" s="23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18"/>
      <c r="V400" s="18"/>
      <c r="W400" s="18"/>
      <c r="AB400" s="18"/>
    </row>
    <row r="401" spans="1:28" ht="15.75">
      <c r="A401" s="18"/>
      <c r="B401" s="23"/>
      <c r="C401" s="22"/>
      <c r="D401" s="23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18"/>
      <c r="V401" s="18"/>
      <c r="W401" s="18"/>
      <c r="AB401" s="18"/>
    </row>
    <row r="402" spans="1:28" ht="15.75">
      <c r="A402" s="18"/>
      <c r="B402" s="23"/>
      <c r="C402" s="22"/>
      <c r="D402" s="23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18"/>
      <c r="V402" s="18"/>
      <c r="W402" s="18"/>
      <c r="AB402" s="18"/>
    </row>
    <row r="403" spans="1:28" ht="15.75">
      <c r="A403" s="18"/>
      <c r="B403" s="23"/>
      <c r="C403" s="22"/>
      <c r="D403" s="23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18"/>
      <c r="V403" s="18"/>
      <c r="W403" s="18"/>
      <c r="AB403" s="18"/>
    </row>
    <row r="404" spans="1:28" ht="15.75">
      <c r="A404" s="18"/>
      <c r="B404" s="23"/>
      <c r="C404" s="22"/>
      <c r="D404" s="23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18"/>
      <c r="V404" s="18"/>
      <c r="W404" s="18"/>
      <c r="AB404" s="18"/>
    </row>
    <row r="405" spans="1:28" ht="15.75">
      <c r="A405" s="18"/>
      <c r="B405" s="23"/>
      <c r="C405" s="22"/>
      <c r="D405" s="23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18"/>
      <c r="V405" s="18"/>
      <c r="W405" s="18"/>
      <c r="AB405" s="18"/>
    </row>
    <row r="406" spans="1:28" ht="15.75">
      <c r="A406" s="18"/>
      <c r="B406" s="23"/>
      <c r="C406" s="22"/>
      <c r="D406" s="23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18"/>
      <c r="V406" s="18"/>
      <c r="W406" s="18"/>
      <c r="AB406" s="18"/>
    </row>
    <row r="407" spans="1:28" ht="15.75">
      <c r="A407" s="18"/>
      <c r="B407" s="23"/>
      <c r="C407" s="22"/>
      <c r="D407" s="23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18"/>
      <c r="V407" s="18"/>
      <c r="W407" s="18"/>
      <c r="AB407" s="18"/>
    </row>
    <row r="408" spans="1:28" ht="15.75">
      <c r="A408" s="18"/>
      <c r="B408" s="23"/>
      <c r="C408" s="22"/>
      <c r="D408" s="23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18"/>
      <c r="V408" s="18"/>
      <c r="W408" s="18"/>
      <c r="AB408" s="18"/>
    </row>
    <row r="409" spans="1:28" ht="15.75">
      <c r="A409" s="18"/>
      <c r="B409" s="23"/>
      <c r="C409" s="22"/>
      <c r="D409" s="23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18"/>
      <c r="V409" s="18"/>
      <c r="W409" s="18"/>
      <c r="AB409" s="18"/>
    </row>
    <row r="410" spans="1:28" ht="15.75">
      <c r="A410" s="18"/>
      <c r="B410" s="23"/>
      <c r="C410" s="22"/>
      <c r="D410" s="23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18"/>
      <c r="V410" s="18"/>
      <c r="W410" s="18"/>
      <c r="AB410" s="18"/>
    </row>
    <row r="411" spans="1:28" ht="15.75">
      <c r="A411" s="18"/>
      <c r="B411" s="23"/>
      <c r="C411" s="22"/>
      <c r="D411" s="23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18"/>
      <c r="V411" s="18"/>
      <c r="W411" s="18"/>
      <c r="AB411" s="18"/>
    </row>
    <row r="412" spans="1:28" ht="15.75">
      <c r="A412" s="18"/>
      <c r="B412" s="23"/>
      <c r="C412" s="22"/>
      <c r="D412" s="23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18"/>
      <c r="V412" s="18"/>
      <c r="W412" s="18"/>
      <c r="AB412" s="18"/>
    </row>
    <row r="413" spans="1:28" ht="15.75">
      <c r="A413" s="18"/>
      <c r="B413" s="23"/>
      <c r="C413" s="22"/>
      <c r="D413" s="23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18"/>
      <c r="V413" s="18"/>
      <c r="W413" s="18"/>
      <c r="AB413" s="18"/>
    </row>
    <row r="414" spans="1:28" ht="15.75">
      <c r="A414" s="18"/>
      <c r="B414" s="23"/>
      <c r="C414" s="22"/>
      <c r="D414" s="23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18"/>
      <c r="V414" s="18"/>
      <c r="W414" s="18"/>
      <c r="AB414" s="18"/>
    </row>
    <row r="415" spans="1:28" ht="15.75">
      <c r="A415" s="18"/>
      <c r="B415" s="23"/>
      <c r="C415" s="22"/>
      <c r="D415" s="23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18"/>
      <c r="V415" s="18"/>
      <c r="W415" s="18"/>
      <c r="AB415" s="18"/>
    </row>
    <row r="416" spans="1:28" ht="15.75">
      <c r="A416" s="18"/>
      <c r="B416" s="23"/>
      <c r="C416" s="22"/>
      <c r="D416" s="23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18"/>
      <c r="V416" s="18"/>
      <c r="W416" s="18"/>
      <c r="AB416" s="18"/>
    </row>
    <row r="417" spans="1:28" ht="15.75">
      <c r="A417" s="18"/>
      <c r="B417" s="23"/>
      <c r="C417" s="22"/>
      <c r="D417" s="23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18"/>
      <c r="V417" s="18"/>
      <c r="W417" s="18"/>
      <c r="AB417" s="18"/>
    </row>
    <row r="418" spans="1:28" ht="15.75">
      <c r="A418" s="18"/>
      <c r="B418" s="23"/>
      <c r="C418" s="22"/>
      <c r="D418" s="23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18"/>
      <c r="V418" s="18"/>
      <c r="W418" s="18"/>
      <c r="AB418" s="18"/>
    </row>
    <row r="419" spans="1:28" ht="15.75">
      <c r="A419" s="18"/>
      <c r="B419" s="23"/>
      <c r="C419" s="22"/>
      <c r="D419" s="23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18"/>
      <c r="V419" s="18"/>
      <c r="W419" s="18"/>
      <c r="AB419" s="18"/>
    </row>
    <row r="420" spans="1:28" ht="15.75">
      <c r="A420" s="18"/>
      <c r="B420" s="23"/>
      <c r="C420" s="22"/>
      <c r="D420" s="23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18"/>
      <c r="V420" s="18"/>
      <c r="W420" s="18"/>
      <c r="AB420" s="18"/>
    </row>
    <row r="421" spans="1:28" ht="15.75">
      <c r="A421" s="18"/>
      <c r="B421" s="23"/>
      <c r="C421" s="22"/>
      <c r="D421" s="23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18"/>
      <c r="V421" s="18"/>
      <c r="W421" s="18"/>
      <c r="AB421" s="18"/>
    </row>
    <row r="422" spans="1:28" ht="15.75">
      <c r="A422" s="18"/>
      <c r="B422" s="23"/>
      <c r="C422" s="22"/>
      <c r="D422" s="23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18"/>
      <c r="V422" s="18"/>
      <c r="W422" s="18"/>
      <c r="AB422" s="18"/>
    </row>
    <row r="423" spans="1:28" ht="15.75">
      <c r="A423" s="18"/>
      <c r="B423" s="23"/>
      <c r="C423" s="22"/>
      <c r="D423" s="23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18"/>
      <c r="V423" s="18"/>
      <c r="W423" s="18"/>
      <c r="AB423" s="18"/>
    </row>
    <row r="424" spans="1:28" ht="15.75">
      <c r="A424" s="18"/>
      <c r="B424" s="23"/>
      <c r="C424" s="22"/>
      <c r="D424" s="23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18"/>
      <c r="V424" s="18"/>
      <c r="W424" s="18"/>
      <c r="AB424" s="18"/>
    </row>
    <row r="425" spans="1:28" ht="15.75">
      <c r="A425" s="18"/>
      <c r="B425" s="23"/>
      <c r="C425" s="22"/>
      <c r="D425" s="23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18"/>
      <c r="V425" s="18"/>
      <c r="W425" s="18"/>
      <c r="AB425" s="18"/>
    </row>
    <row r="426" spans="1:28" ht="15.75">
      <c r="A426" s="18"/>
      <c r="B426" s="23"/>
      <c r="C426" s="22"/>
      <c r="D426" s="23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18"/>
      <c r="V426" s="18"/>
      <c r="W426" s="18"/>
      <c r="AB426" s="18"/>
    </row>
    <row r="427" spans="1:28" ht="15.75">
      <c r="A427" s="18"/>
      <c r="B427" s="23"/>
      <c r="C427" s="22"/>
      <c r="D427" s="23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18"/>
      <c r="V427" s="18"/>
      <c r="W427" s="18"/>
      <c r="AB427" s="18"/>
    </row>
    <row r="428" spans="1:28" ht="15.75">
      <c r="A428" s="18"/>
      <c r="B428" s="23"/>
      <c r="C428" s="22"/>
      <c r="D428" s="23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18"/>
      <c r="V428" s="18"/>
      <c r="W428" s="18"/>
      <c r="AB428" s="18"/>
    </row>
    <row r="429" spans="1:28" ht="15.75">
      <c r="A429" s="18"/>
      <c r="B429" s="23"/>
      <c r="C429" s="22"/>
      <c r="D429" s="23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18"/>
      <c r="V429" s="18"/>
      <c r="W429" s="18"/>
      <c r="AB429" s="18"/>
    </row>
    <row r="430" spans="1:28" ht="15.75">
      <c r="A430" s="18"/>
      <c r="B430" s="23"/>
      <c r="C430" s="22"/>
      <c r="D430" s="23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18"/>
      <c r="V430" s="18"/>
      <c r="W430" s="18"/>
      <c r="AB430" s="18"/>
    </row>
    <row r="431" spans="1:28" ht="15.75">
      <c r="A431" s="18"/>
      <c r="B431" s="23"/>
      <c r="C431" s="22"/>
      <c r="D431" s="23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18"/>
      <c r="V431" s="18"/>
      <c r="W431" s="18"/>
      <c r="AB431" s="18"/>
    </row>
    <row r="432" spans="1:28" ht="15.75">
      <c r="A432" s="18"/>
      <c r="B432" s="23"/>
      <c r="C432" s="22"/>
      <c r="D432" s="23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18"/>
      <c r="V432" s="18"/>
      <c r="W432" s="18"/>
      <c r="AB432" s="18"/>
    </row>
    <row r="433" spans="1:28" ht="15.75">
      <c r="A433" s="18"/>
      <c r="B433" s="23"/>
      <c r="C433" s="22"/>
      <c r="D433" s="23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18"/>
      <c r="V433" s="18"/>
      <c r="W433" s="18"/>
      <c r="AB433" s="18"/>
    </row>
    <row r="434" spans="1:28" ht="15.75">
      <c r="A434" s="18"/>
      <c r="B434" s="23"/>
      <c r="C434" s="22"/>
      <c r="D434" s="23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18"/>
      <c r="V434" s="18"/>
      <c r="W434" s="18"/>
      <c r="AB434" s="18"/>
    </row>
    <row r="435" spans="1:28" ht="15.75">
      <c r="A435" s="18"/>
      <c r="B435" s="23"/>
      <c r="C435" s="22"/>
      <c r="D435" s="23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18"/>
      <c r="V435" s="18"/>
      <c r="W435" s="18"/>
      <c r="AB435" s="18"/>
    </row>
    <row r="436" spans="1:28" ht="15.75">
      <c r="A436" s="18"/>
      <c r="B436" s="23"/>
      <c r="C436" s="22"/>
      <c r="D436" s="23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18"/>
      <c r="V436" s="18"/>
      <c r="W436" s="18"/>
      <c r="AB436" s="18"/>
    </row>
    <row r="437" spans="1:28" ht="15.75">
      <c r="A437" s="18"/>
      <c r="B437" s="23"/>
      <c r="C437" s="22"/>
      <c r="D437" s="23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18"/>
      <c r="V437" s="18"/>
      <c r="W437" s="18"/>
      <c r="AB437" s="18"/>
    </row>
    <row r="438" spans="1:28" ht="15.75">
      <c r="A438" s="18"/>
      <c r="B438" s="23"/>
      <c r="C438" s="22"/>
      <c r="D438" s="23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18"/>
      <c r="V438" s="18"/>
      <c r="W438" s="18"/>
      <c r="AB438" s="18"/>
    </row>
    <row r="439" spans="1:28" ht="15.75">
      <c r="A439" s="18"/>
      <c r="B439" s="23"/>
      <c r="C439" s="22"/>
      <c r="D439" s="23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18"/>
      <c r="V439" s="18"/>
      <c r="W439" s="18"/>
      <c r="AB439" s="18"/>
    </row>
    <row r="440" spans="1:28" ht="15.75">
      <c r="A440" s="18"/>
      <c r="B440" s="23"/>
      <c r="C440" s="22"/>
      <c r="D440" s="23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18"/>
      <c r="V440" s="18"/>
      <c r="W440" s="18"/>
      <c r="AB440" s="18"/>
    </row>
    <row r="441" spans="1:28" ht="15.75">
      <c r="A441" s="18"/>
      <c r="B441" s="23"/>
      <c r="C441" s="22"/>
      <c r="D441" s="23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18"/>
      <c r="V441" s="18"/>
      <c r="W441" s="18"/>
      <c r="AB441" s="18"/>
    </row>
    <row r="442" spans="1:28" ht="15.75">
      <c r="A442" s="18"/>
      <c r="B442" s="23"/>
      <c r="C442" s="22"/>
      <c r="D442" s="23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18"/>
      <c r="V442" s="18"/>
      <c r="W442" s="18"/>
      <c r="AB442" s="18"/>
    </row>
    <row r="443" spans="1:28" ht="15.75">
      <c r="A443" s="18"/>
      <c r="B443" s="23"/>
      <c r="C443" s="22"/>
      <c r="D443" s="23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18"/>
      <c r="V443" s="18"/>
      <c r="W443" s="18"/>
      <c r="AB443" s="18"/>
    </row>
    <row r="444" spans="1:28" ht="15.75">
      <c r="A444" s="18"/>
      <c r="B444" s="23"/>
      <c r="C444" s="22"/>
      <c r="D444" s="23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18"/>
      <c r="V444" s="18"/>
      <c r="W444" s="18"/>
      <c r="AB444" s="18"/>
    </row>
    <row r="445" spans="1:28" ht="15.75">
      <c r="A445" s="18"/>
      <c r="B445" s="23"/>
      <c r="C445" s="22"/>
      <c r="D445" s="23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18"/>
      <c r="V445" s="18"/>
      <c r="W445" s="18"/>
      <c r="AB445" s="18"/>
    </row>
    <row r="446" spans="1:28" ht="15.75">
      <c r="A446" s="18"/>
      <c r="B446" s="23"/>
      <c r="C446" s="22"/>
      <c r="D446" s="23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18"/>
      <c r="V446" s="18"/>
      <c r="W446" s="18"/>
      <c r="AB446" s="18"/>
    </row>
    <row r="447" spans="1:28" ht="15.75">
      <c r="A447" s="18"/>
      <c r="B447" s="23"/>
      <c r="C447" s="22"/>
      <c r="D447" s="23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18"/>
      <c r="V447" s="18"/>
      <c r="W447" s="18"/>
      <c r="AB447" s="18"/>
    </row>
    <row r="448" spans="1:28" ht="15.75">
      <c r="A448" s="18"/>
      <c r="B448" s="23"/>
      <c r="C448" s="22"/>
      <c r="D448" s="23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18"/>
      <c r="V448" s="18"/>
      <c r="W448" s="18"/>
      <c r="AB448" s="18"/>
    </row>
    <row r="449" spans="1:28" ht="15.75">
      <c r="A449" s="18"/>
      <c r="B449" s="23"/>
      <c r="C449" s="22"/>
      <c r="D449" s="23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18"/>
      <c r="V449" s="18"/>
      <c r="W449" s="18"/>
      <c r="AB449" s="18"/>
    </row>
    <row r="450" spans="1:28" ht="15.75">
      <c r="A450" s="18"/>
      <c r="B450" s="23"/>
      <c r="C450" s="22"/>
      <c r="D450" s="23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18"/>
      <c r="V450" s="18"/>
      <c r="W450" s="18"/>
      <c r="AB450" s="18"/>
    </row>
    <row r="451" spans="1:28" ht="15.75">
      <c r="A451" s="18"/>
      <c r="B451" s="23"/>
      <c r="C451" s="22"/>
      <c r="D451" s="23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18"/>
      <c r="V451" s="18"/>
      <c r="W451" s="18"/>
      <c r="AB451" s="18"/>
    </row>
    <row r="452" spans="1:28" ht="15.75">
      <c r="A452" s="18"/>
      <c r="B452" s="23"/>
      <c r="C452" s="22"/>
      <c r="D452" s="23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18"/>
      <c r="V452" s="18"/>
      <c r="W452" s="18"/>
      <c r="AB452" s="18"/>
    </row>
    <row r="453" spans="1:28" ht="15.75">
      <c r="A453" s="18"/>
      <c r="B453" s="23"/>
      <c r="C453" s="22"/>
      <c r="D453" s="23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18"/>
      <c r="V453" s="18"/>
      <c r="W453" s="18"/>
      <c r="AB453" s="18"/>
    </row>
    <row r="454" spans="1:28" ht="15.75">
      <c r="A454" s="18"/>
      <c r="B454" s="23"/>
      <c r="C454" s="22"/>
      <c r="D454" s="23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18"/>
      <c r="V454" s="18"/>
      <c r="W454" s="18"/>
      <c r="AB454" s="18"/>
    </row>
    <row r="455" spans="1:28" ht="15.75">
      <c r="A455" s="18"/>
      <c r="B455" s="23"/>
      <c r="C455" s="22"/>
      <c r="D455" s="23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18"/>
      <c r="V455" s="18"/>
      <c r="W455" s="18"/>
      <c r="AB455" s="18"/>
    </row>
    <row r="456" spans="1:28" ht="15.75">
      <c r="A456" s="18"/>
      <c r="B456" s="23"/>
      <c r="C456" s="22"/>
      <c r="D456" s="23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18"/>
      <c r="V456" s="18"/>
      <c r="W456" s="18"/>
      <c r="AB456" s="18"/>
    </row>
    <row r="457" spans="1:28" ht="15.75">
      <c r="A457" s="18"/>
      <c r="B457" s="23"/>
      <c r="C457" s="22"/>
      <c r="D457" s="23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18"/>
      <c r="V457" s="18"/>
      <c r="W457" s="18"/>
      <c r="AB457" s="18"/>
    </row>
    <row r="458" spans="1:28" ht="15.75">
      <c r="A458" s="18"/>
      <c r="B458" s="23"/>
      <c r="C458" s="22"/>
      <c r="D458" s="23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18"/>
      <c r="V458" s="18"/>
      <c r="W458" s="18"/>
      <c r="AB458" s="18"/>
    </row>
    <row r="459" spans="1:28" ht="15.75">
      <c r="A459" s="18"/>
      <c r="B459" s="23"/>
      <c r="C459" s="22"/>
      <c r="D459" s="23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18"/>
      <c r="V459" s="18"/>
      <c r="W459" s="18"/>
      <c r="AB459" s="18"/>
    </row>
    <row r="460" spans="1:28" ht="15.75">
      <c r="A460" s="18"/>
      <c r="B460" s="23"/>
      <c r="C460" s="22"/>
      <c r="D460" s="23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18"/>
      <c r="V460" s="18"/>
      <c r="W460" s="18"/>
      <c r="AB460" s="18"/>
    </row>
    <row r="461" spans="1:28" ht="15.75">
      <c r="A461" s="18"/>
      <c r="B461" s="23"/>
      <c r="C461" s="22"/>
      <c r="D461" s="23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18"/>
      <c r="V461" s="18"/>
      <c r="W461" s="18"/>
      <c r="AB461" s="18"/>
    </row>
    <row r="462" spans="1:28" ht="15.75">
      <c r="A462" s="18"/>
      <c r="B462" s="23"/>
      <c r="C462" s="22"/>
      <c r="D462" s="23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18"/>
      <c r="V462" s="18"/>
      <c r="W462" s="18"/>
      <c r="AB462" s="18"/>
    </row>
    <row r="463" spans="1:28" ht="15.75">
      <c r="A463" s="18"/>
      <c r="B463" s="23"/>
      <c r="C463" s="22"/>
      <c r="D463" s="23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18"/>
      <c r="V463" s="18"/>
      <c r="W463" s="18"/>
      <c r="AB463" s="18"/>
    </row>
    <row r="464" spans="1:28" ht="15.75">
      <c r="A464" s="18"/>
      <c r="B464" s="23"/>
      <c r="C464" s="22"/>
      <c r="D464" s="23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18"/>
      <c r="V464" s="18"/>
      <c r="W464" s="18"/>
      <c r="AB464" s="18"/>
    </row>
    <row r="465" spans="1:28" ht="15.75">
      <c r="A465" s="18"/>
      <c r="B465" s="23"/>
      <c r="C465" s="22"/>
      <c r="D465" s="23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18"/>
      <c r="V465" s="18"/>
      <c r="W465" s="18"/>
      <c r="AB465" s="18"/>
    </row>
    <row r="466" spans="1:28" ht="15.75">
      <c r="A466" s="18"/>
      <c r="B466" s="23"/>
      <c r="C466" s="22"/>
      <c r="D466" s="23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18"/>
      <c r="V466" s="18"/>
      <c r="W466" s="18"/>
      <c r="AB466" s="18"/>
    </row>
    <row r="467" spans="1:28" ht="15.75">
      <c r="A467" s="18"/>
      <c r="B467" s="23"/>
      <c r="C467" s="22"/>
      <c r="D467" s="23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18"/>
      <c r="V467" s="18"/>
      <c r="W467" s="18"/>
      <c r="AB467" s="18"/>
    </row>
    <row r="468" spans="1:28" ht="15.75">
      <c r="A468" s="18"/>
      <c r="B468" s="23"/>
      <c r="C468" s="22"/>
      <c r="D468" s="23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18"/>
      <c r="V468" s="18"/>
      <c r="W468" s="18"/>
      <c r="AB468" s="18"/>
    </row>
    <row r="469" spans="1:28" ht="15.75">
      <c r="A469" s="18"/>
      <c r="B469" s="23"/>
      <c r="C469" s="22"/>
      <c r="D469" s="23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18"/>
      <c r="V469" s="18"/>
      <c r="W469" s="18"/>
      <c r="AB469" s="18"/>
    </row>
    <row r="470" spans="1:28" ht="15.75">
      <c r="A470" s="18"/>
      <c r="B470" s="23"/>
      <c r="C470" s="22"/>
      <c r="D470" s="23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18"/>
      <c r="V470" s="18"/>
      <c r="W470" s="18"/>
      <c r="AB470" s="18"/>
    </row>
    <row r="471" spans="1:28" ht="15.75">
      <c r="A471" s="18"/>
      <c r="B471" s="23"/>
      <c r="C471" s="22"/>
      <c r="D471" s="23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18"/>
      <c r="V471" s="18"/>
      <c r="W471" s="18"/>
      <c r="AB471" s="18"/>
    </row>
    <row r="472" spans="1:28" ht="15.75">
      <c r="A472" s="18"/>
      <c r="B472" s="23"/>
      <c r="C472" s="22"/>
      <c r="D472" s="23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18"/>
      <c r="V472" s="18"/>
      <c r="W472" s="18"/>
      <c r="AB472" s="18"/>
    </row>
    <row r="473" spans="1:28" ht="15.75">
      <c r="A473" s="18"/>
      <c r="B473" s="23"/>
      <c r="C473" s="22"/>
      <c r="D473" s="23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18"/>
      <c r="V473" s="18"/>
      <c r="W473" s="18"/>
      <c r="AB473" s="18"/>
    </row>
    <row r="474" spans="1:28" ht="15.75">
      <c r="A474" s="18"/>
      <c r="B474" s="23"/>
      <c r="C474" s="22"/>
      <c r="D474" s="23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18"/>
      <c r="V474" s="18"/>
      <c r="W474" s="18"/>
      <c r="AB474" s="18"/>
    </row>
    <row r="475" spans="1:28" ht="15.75">
      <c r="A475" s="18"/>
      <c r="B475" s="23"/>
      <c r="C475" s="22"/>
      <c r="D475" s="23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18"/>
      <c r="V475" s="18"/>
      <c r="W475" s="18"/>
      <c r="AB475" s="18"/>
    </row>
    <row r="476" spans="1:28" ht="15.75">
      <c r="A476" s="18"/>
      <c r="B476" s="23"/>
      <c r="C476" s="22"/>
      <c r="D476" s="23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18"/>
      <c r="V476" s="18"/>
      <c r="W476" s="18"/>
      <c r="AB476" s="18"/>
    </row>
    <row r="477" spans="1:28" ht="15.75">
      <c r="A477" s="18"/>
      <c r="B477" s="23"/>
      <c r="C477" s="22"/>
      <c r="D477" s="23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18"/>
      <c r="V477" s="18"/>
      <c r="W477" s="18"/>
      <c r="AB477" s="18"/>
    </row>
    <row r="478" spans="1:28" ht="15.75">
      <c r="A478" s="18"/>
      <c r="B478" s="23"/>
      <c r="C478" s="22"/>
      <c r="D478" s="23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18"/>
      <c r="V478" s="18"/>
      <c r="W478" s="18"/>
      <c r="AB478" s="18"/>
    </row>
    <row r="479" spans="1:28" ht="15.75">
      <c r="A479" s="18"/>
      <c r="B479" s="23"/>
      <c r="C479" s="22"/>
      <c r="D479" s="23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18"/>
      <c r="V479" s="18"/>
      <c r="W479" s="18"/>
      <c r="AB479" s="18"/>
    </row>
    <row r="480" spans="1:28" ht="15.75">
      <c r="A480" s="18"/>
      <c r="B480" s="23"/>
      <c r="C480" s="22"/>
      <c r="D480" s="23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18"/>
      <c r="V480" s="18"/>
      <c r="W480" s="18"/>
      <c r="AB480" s="18"/>
    </row>
    <row r="481" spans="1:28" ht="15.75">
      <c r="A481" s="18"/>
      <c r="B481" s="23"/>
      <c r="C481" s="22"/>
      <c r="D481" s="23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18"/>
      <c r="V481" s="18"/>
      <c r="W481" s="18"/>
      <c r="AB481" s="18"/>
    </row>
    <row r="482" spans="1:28" ht="15.75">
      <c r="A482" s="18"/>
      <c r="B482" s="23"/>
      <c r="C482" s="22"/>
      <c r="D482" s="23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18"/>
      <c r="V482" s="18"/>
      <c r="W482" s="18"/>
      <c r="AB482" s="18"/>
    </row>
    <row r="483" spans="1:28" ht="15.75">
      <c r="A483" s="18"/>
      <c r="B483" s="23"/>
      <c r="C483" s="22"/>
      <c r="D483" s="23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18"/>
      <c r="V483" s="18"/>
      <c r="W483" s="18"/>
      <c r="AB483" s="18"/>
    </row>
    <row r="484" spans="1:28" ht="15.75">
      <c r="A484" s="18"/>
      <c r="B484" s="23"/>
      <c r="C484" s="22"/>
      <c r="D484" s="23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18"/>
      <c r="V484" s="18"/>
      <c r="W484" s="18"/>
      <c r="AB484" s="18"/>
    </row>
    <row r="485" spans="1:28" ht="15.75">
      <c r="A485" s="18"/>
      <c r="B485" s="23"/>
      <c r="C485" s="22"/>
      <c r="D485" s="23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18"/>
      <c r="V485" s="18"/>
      <c r="W485" s="18"/>
      <c r="AB485" s="18"/>
    </row>
    <row r="486" spans="1:28" ht="15.75">
      <c r="A486" s="18"/>
      <c r="B486" s="23"/>
      <c r="C486" s="22"/>
      <c r="D486" s="23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18"/>
      <c r="V486" s="18"/>
      <c r="W486" s="18"/>
      <c r="AB486" s="18"/>
    </row>
    <row r="487" spans="1:28" ht="15.75">
      <c r="A487" s="18"/>
      <c r="B487" s="23"/>
      <c r="C487" s="22"/>
      <c r="D487" s="23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18"/>
      <c r="V487" s="18"/>
      <c r="W487" s="18"/>
      <c r="AB487" s="18"/>
    </row>
    <row r="488" spans="1:28" ht="15.75">
      <c r="A488" s="18"/>
      <c r="B488" s="23"/>
      <c r="C488" s="22"/>
      <c r="D488" s="23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18"/>
      <c r="V488" s="18"/>
      <c r="W488" s="18"/>
      <c r="AB488" s="18"/>
    </row>
    <row r="489" spans="1:28" ht="15.75">
      <c r="A489" s="18"/>
      <c r="B489" s="23"/>
      <c r="C489" s="22"/>
      <c r="D489" s="23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18"/>
      <c r="V489" s="18"/>
      <c r="W489" s="18"/>
      <c r="AB489" s="18"/>
    </row>
    <row r="490" spans="1:28" ht="15.75">
      <c r="A490" s="18"/>
      <c r="B490" s="23"/>
      <c r="C490" s="22"/>
      <c r="D490" s="23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18"/>
      <c r="V490" s="18"/>
      <c r="W490" s="18"/>
      <c r="AB490" s="18"/>
    </row>
    <row r="491" spans="1:28" ht="15.75">
      <c r="A491" s="18"/>
      <c r="B491" s="23"/>
      <c r="C491" s="22"/>
      <c r="D491" s="23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18"/>
      <c r="V491" s="18"/>
      <c r="W491" s="18"/>
      <c r="AB491" s="18"/>
    </row>
    <row r="492" spans="1:28" ht="15.75">
      <c r="A492" s="18"/>
      <c r="B492" s="23"/>
      <c r="C492" s="22"/>
      <c r="D492" s="23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18"/>
      <c r="V492" s="18"/>
      <c r="W492" s="18"/>
      <c r="AB492" s="18"/>
    </row>
    <row r="493" spans="1:28" ht="15.75">
      <c r="A493" s="18"/>
      <c r="B493" s="23"/>
      <c r="C493" s="22"/>
      <c r="D493" s="23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18"/>
      <c r="V493" s="18"/>
      <c r="W493" s="18"/>
      <c r="AB493" s="18"/>
    </row>
    <row r="494" spans="1:28" ht="15.75">
      <c r="A494" s="18"/>
      <c r="B494" s="23"/>
      <c r="C494" s="22"/>
      <c r="D494" s="23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18"/>
      <c r="V494" s="18"/>
      <c r="W494" s="18"/>
      <c r="AB494" s="18"/>
    </row>
    <row r="495" spans="1:28" ht="15.75">
      <c r="A495" s="18"/>
      <c r="B495" s="23"/>
      <c r="C495" s="22"/>
      <c r="D495" s="23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18"/>
      <c r="V495" s="18"/>
      <c r="W495" s="18"/>
      <c r="AB495" s="18"/>
    </row>
    <row r="496" spans="1:28" ht="15.75">
      <c r="A496" s="18"/>
      <c r="B496" s="23"/>
      <c r="C496" s="22"/>
      <c r="D496" s="23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18"/>
      <c r="V496" s="18"/>
      <c r="W496" s="18"/>
      <c r="AB496" s="18"/>
    </row>
    <row r="497" spans="1:28" ht="15.75">
      <c r="A497" s="18"/>
      <c r="B497" s="23"/>
      <c r="C497" s="22"/>
      <c r="D497" s="23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18"/>
      <c r="V497" s="18"/>
      <c r="W497" s="18"/>
      <c r="AB497" s="18"/>
    </row>
    <row r="498" spans="1:28" ht="15.75">
      <c r="A498" s="18"/>
      <c r="B498" s="23"/>
      <c r="C498" s="22"/>
      <c r="D498" s="23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18"/>
      <c r="V498" s="18"/>
      <c r="W498" s="18"/>
      <c r="AB498" s="18"/>
    </row>
    <row r="499" spans="1:28" ht="15.75">
      <c r="A499" s="18"/>
      <c r="B499" s="23"/>
      <c r="C499" s="22"/>
      <c r="D499" s="23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18"/>
      <c r="V499" s="18"/>
      <c r="W499" s="18"/>
      <c r="AB499" s="18"/>
    </row>
    <row r="500" spans="1:28" ht="15.75">
      <c r="A500" s="18"/>
      <c r="B500" s="23"/>
      <c r="C500" s="22"/>
      <c r="D500" s="23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18"/>
      <c r="V500" s="18"/>
      <c r="W500" s="18"/>
      <c r="AB500" s="18"/>
    </row>
    <row r="501" spans="1:28" ht="15.75">
      <c r="A501" s="18"/>
      <c r="B501" s="23"/>
      <c r="C501" s="22"/>
      <c r="D501" s="23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18"/>
      <c r="V501" s="18"/>
      <c r="W501" s="18"/>
      <c r="AB501" s="18"/>
    </row>
    <row r="502" spans="1:28" ht="15.75">
      <c r="A502" s="18"/>
      <c r="B502" s="23"/>
      <c r="C502" s="22"/>
      <c r="D502" s="23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18"/>
      <c r="V502" s="18"/>
      <c r="W502" s="18"/>
      <c r="AB502" s="18"/>
    </row>
    <row r="503" spans="1:28" ht="15.75">
      <c r="A503" s="18"/>
      <c r="B503" s="23"/>
      <c r="C503" s="22"/>
      <c r="D503" s="23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18"/>
      <c r="V503" s="18"/>
      <c r="W503" s="18"/>
      <c r="AB503" s="18"/>
    </row>
    <row r="504" spans="1:28" ht="15.75">
      <c r="A504" s="18"/>
      <c r="B504" s="23"/>
      <c r="C504" s="22"/>
      <c r="D504" s="23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18"/>
      <c r="V504" s="18"/>
      <c r="W504" s="18"/>
      <c r="AB504" s="18"/>
    </row>
    <row r="505" spans="1:28" ht="15.75">
      <c r="A505" s="18"/>
      <c r="B505" s="23"/>
      <c r="C505" s="22"/>
      <c r="D505" s="23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18"/>
      <c r="V505" s="18"/>
      <c r="W505" s="18"/>
      <c r="AB505" s="18"/>
    </row>
    <row r="506" spans="1:28" ht="15.75">
      <c r="A506" s="18"/>
      <c r="B506" s="23"/>
      <c r="C506" s="22"/>
      <c r="D506" s="23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18"/>
      <c r="V506" s="18"/>
      <c r="W506" s="18"/>
      <c r="AB506" s="18"/>
    </row>
    <row r="507" spans="1:28" ht="15.75">
      <c r="A507" s="18"/>
      <c r="B507" s="23"/>
      <c r="C507" s="22"/>
      <c r="D507" s="23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18"/>
      <c r="V507" s="18"/>
      <c r="W507" s="18"/>
      <c r="AB507" s="18"/>
    </row>
    <row r="508" spans="1:28" ht="15.75">
      <c r="A508" s="18"/>
      <c r="B508" s="23"/>
      <c r="C508" s="22"/>
      <c r="D508" s="23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18"/>
      <c r="V508" s="18"/>
      <c r="W508" s="18"/>
      <c r="AB508" s="18"/>
    </row>
    <row r="509" spans="1:28" ht="15.75">
      <c r="A509" s="18"/>
      <c r="B509" s="23"/>
      <c r="C509" s="22"/>
      <c r="D509" s="23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18"/>
      <c r="V509" s="18"/>
      <c r="W509" s="18"/>
      <c r="AB509" s="18"/>
    </row>
    <row r="510" spans="1:28" ht="15.75">
      <c r="A510" s="18"/>
      <c r="B510" s="23"/>
      <c r="C510" s="22"/>
      <c r="D510" s="23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18"/>
      <c r="V510" s="18"/>
      <c r="W510" s="18"/>
      <c r="AB510" s="18"/>
    </row>
    <row r="511" spans="1:28" ht="15.75">
      <c r="A511" s="18"/>
      <c r="B511" s="23"/>
      <c r="C511" s="22"/>
      <c r="D511" s="23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18"/>
      <c r="V511" s="18"/>
      <c r="W511" s="18"/>
      <c r="AB511" s="18"/>
    </row>
    <row r="512" spans="1:28" ht="15.75">
      <c r="A512" s="18"/>
      <c r="B512" s="23"/>
      <c r="C512" s="22"/>
      <c r="D512" s="23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18"/>
      <c r="V512" s="18"/>
      <c r="W512" s="18"/>
      <c r="AB512" s="18"/>
    </row>
    <row r="513" spans="1:28" ht="15.75">
      <c r="A513" s="18"/>
      <c r="B513" s="23"/>
      <c r="C513" s="22"/>
      <c r="D513" s="23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18"/>
      <c r="V513" s="18"/>
      <c r="W513" s="18"/>
      <c r="AB513" s="18"/>
    </row>
    <row r="514" spans="1:28" ht="15.75">
      <c r="A514" s="18"/>
      <c r="B514" s="23"/>
      <c r="C514" s="22"/>
      <c r="D514" s="23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18"/>
      <c r="V514" s="18"/>
      <c r="W514" s="18"/>
      <c r="AB514" s="18"/>
    </row>
    <row r="515" spans="1:28" ht="15.75">
      <c r="A515" s="18"/>
      <c r="B515" s="23"/>
      <c r="C515" s="22"/>
      <c r="D515" s="23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18"/>
      <c r="V515" s="18"/>
      <c r="W515" s="18"/>
      <c r="AB515" s="18"/>
    </row>
    <row r="516" spans="1:28" ht="15.75">
      <c r="A516" s="18"/>
      <c r="B516" s="23"/>
      <c r="C516" s="22"/>
      <c r="D516" s="23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18"/>
      <c r="V516" s="18"/>
      <c r="W516" s="18"/>
      <c r="AB516" s="18"/>
    </row>
    <row r="517" spans="1:28" ht="15.75">
      <c r="A517" s="18"/>
      <c r="B517" s="23"/>
      <c r="C517" s="22"/>
      <c r="D517" s="23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18"/>
      <c r="V517" s="18"/>
      <c r="W517" s="18"/>
      <c r="AB517" s="18"/>
    </row>
    <row r="518" spans="1:28" ht="15.75">
      <c r="A518" s="18"/>
      <c r="B518" s="23"/>
      <c r="C518" s="22"/>
      <c r="D518" s="23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18"/>
      <c r="V518" s="18"/>
      <c r="W518" s="18"/>
      <c r="AB518" s="18"/>
    </row>
    <row r="519" spans="1:28" ht="15.75">
      <c r="A519" s="18"/>
      <c r="B519" s="23"/>
      <c r="C519" s="22"/>
      <c r="D519" s="23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18"/>
      <c r="V519" s="18"/>
      <c r="W519" s="18"/>
      <c r="AB519" s="18"/>
    </row>
    <row r="520" spans="1:28" ht="15.75">
      <c r="A520" s="18"/>
      <c r="B520" s="23"/>
      <c r="C520" s="22"/>
      <c r="D520" s="23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18"/>
      <c r="V520" s="18"/>
      <c r="W520" s="18"/>
      <c r="AB520" s="18"/>
    </row>
    <row r="521" spans="1:28" ht="15.75">
      <c r="A521" s="18"/>
      <c r="B521" s="23"/>
      <c r="C521" s="22"/>
      <c r="D521" s="23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18"/>
      <c r="V521" s="18"/>
      <c r="W521" s="18"/>
      <c r="AB521" s="18"/>
    </row>
    <row r="522" spans="1:28" ht="15.75">
      <c r="A522" s="18"/>
      <c r="B522" s="23"/>
      <c r="C522" s="22"/>
      <c r="D522" s="23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18"/>
      <c r="V522" s="18"/>
      <c r="W522" s="18"/>
      <c r="AB522" s="18"/>
    </row>
    <row r="523" spans="1:28" ht="15.75">
      <c r="A523" s="18"/>
      <c r="B523" s="23"/>
      <c r="C523" s="22"/>
      <c r="D523" s="23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18"/>
      <c r="V523" s="18"/>
      <c r="W523" s="18"/>
      <c r="AB523" s="18"/>
    </row>
    <row r="524" spans="1:28" ht="15.75">
      <c r="A524" s="18"/>
      <c r="B524" s="23"/>
      <c r="C524" s="22"/>
      <c r="D524" s="23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18"/>
      <c r="V524" s="18"/>
      <c r="W524" s="18"/>
      <c r="AB524" s="18"/>
    </row>
    <row r="525" spans="1:28" ht="15.75">
      <c r="A525" s="18"/>
      <c r="B525" s="23"/>
      <c r="C525" s="22"/>
      <c r="D525" s="23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18"/>
      <c r="V525" s="18"/>
      <c r="W525" s="18"/>
      <c r="AB525" s="18"/>
    </row>
    <row r="526" spans="1:28" ht="15.75">
      <c r="A526" s="18"/>
      <c r="B526" s="23"/>
      <c r="C526" s="22"/>
      <c r="D526" s="23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18"/>
      <c r="V526" s="18"/>
      <c r="W526" s="18"/>
      <c r="AB526" s="18"/>
    </row>
    <row r="527" spans="1:28" ht="15.75">
      <c r="A527" s="18"/>
      <c r="B527" s="23"/>
      <c r="C527" s="22"/>
      <c r="D527" s="23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18"/>
      <c r="V527" s="18"/>
      <c r="W527" s="18"/>
      <c r="AB527" s="18"/>
    </row>
    <row r="528" spans="1:28" ht="15.75">
      <c r="A528" s="18"/>
      <c r="B528" s="23"/>
      <c r="C528" s="22"/>
      <c r="D528" s="23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18"/>
      <c r="V528" s="18"/>
      <c r="W528" s="18"/>
      <c r="AB528" s="18"/>
    </row>
    <row r="529" spans="1:28" ht="15.75">
      <c r="A529" s="18"/>
      <c r="B529" s="23"/>
      <c r="C529" s="22"/>
      <c r="D529" s="23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18"/>
      <c r="V529" s="18"/>
      <c r="W529" s="18"/>
      <c r="AB529" s="18"/>
    </row>
    <row r="530" spans="1:28" ht="15.75">
      <c r="A530" s="18"/>
      <c r="B530" s="23"/>
      <c r="C530" s="22"/>
      <c r="D530" s="23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18"/>
      <c r="V530" s="18"/>
      <c r="W530" s="18"/>
      <c r="AB530" s="18"/>
    </row>
    <row r="531" spans="1:28" ht="15.75">
      <c r="A531" s="18"/>
      <c r="B531" s="23"/>
      <c r="C531" s="22"/>
      <c r="D531" s="23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18"/>
      <c r="V531" s="18"/>
      <c r="W531" s="18"/>
      <c r="AB531" s="18"/>
    </row>
    <row r="532" spans="1:28" ht="15.75">
      <c r="A532" s="18"/>
      <c r="B532" s="23"/>
      <c r="C532" s="22"/>
      <c r="D532" s="23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18"/>
      <c r="V532" s="18"/>
      <c r="W532" s="18"/>
      <c r="AB532" s="18"/>
    </row>
    <row r="533" spans="1:28" ht="15.75">
      <c r="A533" s="18"/>
      <c r="B533" s="23"/>
      <c r="C533" s="22"/>
      <c r="D533" s="23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18"/>
      <c r="V533" s="18"/>
      <c r="W533" s="18"/>
      <c r="AB533" s="18"/>
    </row>
    <row r="534" spans="1:28" ht="15.75">
      <c r="A534" s="18"/>
      <c r="B534" s="23"/>
      <c r="C534" s="22"/>
      <c r="D534" s="23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18"/>
      <c r="V534" s="18"/>
      <c r="W534" s="18"/>
      <c r="AB534" s="18"/>
    </row>
    <row r="535" spans="1:28" ht="15.75">
      <c r="A535" s="18"/>
      <c r="B535" s="23"/>
      <c r="C535" s="22"/>
      <c r="D535" s="23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18"/>
      <c r="V535" s="18"/>
      <c r="W535" s="18"/>
      <c r="AB535" s="18"/>
    </row>
    <row r="536" spans="1:28" ht="15.75">
      <c r="A536" s="18"/>
      <c r="B536" s="23"/>
      <c r="C536" s="22"/>
      <c r="D536" s="23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18"/>
      <c r="V536" s="18"/>
      <c r="W536" s="18"/>
      <c r="AB536" s="18"/>
    </row>
    <row r="537" spans="1:28" ht="15.75">
      <c r="A537" s="18"/>
      <c r="B537" s="23"/>
      <c r="C537" s="22"/>
      <c r="D537" s="23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18"/>
      <c r="V537" s="18"/>
      <c r="W537" s="18"/>
      <c r="AB537" s="18"/>
    </row>
    <row r="538" spans="1:28" ht="15.75">
      <c r="A538" s="18"/>
      <c r="B538" s="23"/>
      <c r="C538" s="22"/>
      <c r="D538" s="23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18"/>
      <c r="V538" s="18"/>
      <c r="W538" s="18"/>
      <c r="AB538" s="18"/>
    </row>
    <row r="539" spans="1:28" ht="15.75">
      <c r="A539" s="18"/>
      <c r="B539" s="23"/>
      <c r="C539" s="22"/>
      <c r="D539" s="23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18"/>
      <c r="V539" s="18"/>
      <c r="W539" s="18"/>
      <c r="AB539" s="18"/>
    </row>
    <row r="540" spans="1:28" ht="15.75">
      <c r="A540" s="18"/>
      <c r="B540" s="23"/>
      <c r="C540" s="22"/>
      <c r="D540" s="23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18"/>
      <c r="V540" s="18"/>
      <c r="W540" s="18"/>
      <c r="AB540" s="18"/>
    </row>
    <row r="541" spans="1:28" ht="15.75">
      <c r="A541" s="18"/>
      <c r="B541" s="23"/>
      <c r="C541" s="22"/>
      <c r="D541" s="23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18"/>
      <c r="V541" s="18"/>
      <c r="W541" s="18"/>
      <c r="AB541" s="18"/>
    </row>
    <row r="542" spans="1:28" ht="15.75">
      <c r="A542" s="18"/>
      <c r="B542" s="23"/>
      <c r="C542" s="22"/>
      <c r="D542" s="23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18"/>
      <c r="V542" s="18"/>
      <c r="W542" s="18"/>
      <c r="AB542" s="18"/>
    </row>
    <row r="543" spans="1:28" ht="15.75">
      <c r="A543" s="18"/>
      <c r="B543" s="23"/>
      <c r="C543" s="22"/>
      <c r="D543" s="23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18"/>
      <c r="V543" s="18"/>
      <c r="W543" s="18"/>
      <c r="AB543" s="18"/>
    </row>
    <row r="544" spans="1:28" ht="15.75">
      <c r="A544" s="18"/>
      <c r="B544" s="23"/>
      <c r="C544" s="22"/>
      <c r="D544" s="23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18"/>
      <c r="V544" s="18"/>
      <c r="W544" s="18"/>
      <c r="AB544" s="18"/>
    </row>
    <row r="545" spans="1:28" ht="15.75">
      <c r="A545" s="18"/>
      <c r="B545" s="23"/>
      <c r="C545" s="22"/>
      <c r="D545" s="23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18"/>
      <c r="V545" s="18"/>
      <c r="W545" s="18"/>
      <c r="AB545" s="18"/>
    </row>
    <row r="546" spans="1:28" ht="15.75">
      <c r="A546" s="18"/>
      <c r="B546" s="23"/>
      <c r="C546" s="22"/>
      <c r="D546" s="23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18"/>
      <c r="V546" s="18"/>
      <c r="W546" s="18"/>
      <c r="AB546" s="18"/>
    </row>
    <row r="547" spans="1:28" ht="15.75">
      <c r="A547" s="18"/>
      <c r="B547" s="23"/>
      <c r="C547" s="22"/>
      <c r="D547" s="23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18"/>
      <c r="V547" s="18"/>
      <c r="W547" s="18"/>
      <c r="AB547" s="18"/>
    </row>
    <row r="548" spans="1:28" ht="15.75">
      <c r="A548" s="18"/>
      <c r="B548" s="23"/>
      <c r="C548" s="22"/>
      <c r="D548" s="23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18"/>
      <c r="V548" s="18"/>
      <c r="W548" s="18"/>
      <c r="AB548" s="18"/>
    </row>
    <row r="549" spans="1:28" ht="15.75">
      <c r="A549" s="18"/>
      <c r="B549" s="23"/>
      <c r="C549" s="22"/>
      <c r="D549" s="23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18"/>
      <c r="V549" s="18"/>
      <c r="W549" s="18"/>
      <c r="AB549" s="18"/>
    </row>
    <row r="550" spans="1:28" ht="15.75">
      <c r="A550" s="18"/>
      <c r="B550" s="23"/>
      <c r="C550" s="22"/>
      <c r="D550" s="23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18"/>
      <c r="V550" s="18"/>
      <c r="W550" s="18"/>
      <c r="AB550" s="18"/>
    </row>
    <row r="551" spans="1:28" ht="15.75">
      <c r="A551" s="18"/>
      <c r="B551" s="23"/>
      <c r="C551" s="22"/>
      <c r="D551" s="23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18"/>
      <c r="V551" s="18"/>
      <c r="W551" s="18"/>
      <c r="AB551" s="18"/>
    </row>
    <row r="552" spans="1:28" ht="15.75">
      <c r="A552" s="18"/>
      <c r="B552" s="23"/>
      <c r="C552" s="22"/>
      <c r="D552" s="23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18"/>
      <c r="V552" s="18"/>
      <c r="W552" s="18"/>
      <c r="AB552" s="18"/>
    </row>
    <row r="553" spans="1:28" ht="15.75">
      <c r="A553" s="18"/>
      <c r="B553" s="23"/>
      <c r="C553" s="22"/>
      <c r="D553" s="23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18"/>
      <c r="V553" s="18"/>
      <c r="W553" s="18"/>
      <c r="AB553" s="18"/>
    </row>
    <row r="554" spans="1:28" ht="15.75">
      <c r="A554" s="18"/>
      <c r="B554" s="23"/>
      <c r="C554" s="22"/>
      <c r="D554" s="23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18"/>
      <c r="V554" s="18"/>
      <c r="W554" s="18"/>
      <c r="AB554" s="18"/>
    </row>
    <row r="555" spans="1:28" ht="15.75">
      <c r="A555" s="18"/>
      <c r="B555" s="23"/>
      <c r="C555" s="22"/>
      <c r="D555" s="23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18"/>
      <c r="V555" s="18"/>
      <c r="W555" s="18"/>
      <c r="AB555" s="18"/>
    </row>
    <row r="556" spans="1:28" ht="15.75">
      <c r="A556" s="18"/>
      <c r="B556" s="23"/>
      <c r="C556" s="22"/>
      <c r="D556" s="23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18"/>
      <c r="V556" s="18"/>
      <c r="W556" s="18"/>
      <c r="AB556" s="18"/>
    </row>
    <row r="557" spans="1:28" ht="15.75">
      <c r="A557" s="18"/>
      <c r="B557" s="23"/>
      <c r="C557" s="22"/>
      <c r="D557" s="23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18"/>
      <c r="V557" s="18"/>
      <c r="W557" s="18"/>
      <c r="AB557" s="18"/>
    </row>
    <row r="558" spans="1:28" ht="15.75">
      <c r="A558" s="18"/>
      <c r="B558" s="23"/>
      <c r="C558" s="22"/>
      <c r="D558" s="23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18"/>
      <c r="V558" s="18"/>
      <c r="W558" s="18"/>
      <c r="AB558" s="18"/>
    </row>
    <row r="559" spans="1:28" ht="15.75">
      <c r="A559" s="18"/>
      <c r="B559" s="23"/>
      <c r="C559" s="22"/>
      <c r="D559" s="23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18"/>
      <c r="V559" s="18"/>
      <c r="W559" s="18"/>
      <c r="AB559" s="18"/>
    </row>
    <row r="560" spans="1:28" ht="15.75">
      <c r="A560" s="18"/>
      <c r="B560" s="23"/>
      <c r="C560" s="22"/>
      <c r="D560" s="23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18"/>
      <c r="V560" s="18"/>
      <c r="W560" s="18"/>
      <c r="AB560" s="18"/>
    </row>
    <row r="561" spans="1:28" ht="15.75">
      <c r="A561" s="18"/>
      <c r="B561" s="23"/>
      <c r="C561" s="22"/>
      <c r="D561" s="23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18"/>
      <c r="V561" s="18"/>
      <c r="W561" s="18"/>
      <c r="AB561" s="18"/>
    </row>
    <row r="562" spans="1:28" ht="15.75">
      <c r="A562" s="18"/>
      <c r="B562" s="23"/>
      <c r="C562" s="22"/>
      <c r="D562" s="23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18"/>
      <c r="V562" s="18"/>
      <c r="W562" s="18"/>
      <c r="AB562" s="18"/>
    </row>
    <row r="563" spans="1:28" ht="15.75">
      <c r="A563" s="18"/>
      <c r="B563" s="23"/>
      <c r="C563" s="22"/>
      <c r="D563" s="23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18"/>
      <c r="V563" s="18"/>
      <c r="W563" s="18"/>
      <c r="AB563" s="18"/>
    </row>
    <row r="564" spans="1:28" ht="15.75">
      <c r="A564" s="18"/>
      <c r="B564" s="23"/>
      <c r="C564" s="22"/>
      <c r="D564" s="23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18"/>
      <c r="V564" s="18"/>
      <c r="W564" s="18"/>
      <c r="AB564" s="18"/>
    </row>
    <row r="565" spans="1:28" ht="15.75">
      <c r="A565" s="18"/>
      <c r="B565" s="23"/>
      <c r="C565" s="22"/>
      <c r="D565" s="23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18"/>
      <c r="V565" s="18"/>
      <c r="W565" s="18"/>
      <c r="AB565" s="18"/>
    </row>
    <row r="566" spans="1:28" ht="15.75">
      <c r="A566" s="18"/>
      <c r="B566" s="23"/>
      <c r="C566" s="22"/>
      <c r="D566" s="23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18"/>
      <c r="V566" s="18"/>
      <c r="W566" s="18"/>
      <c r="AB566" s="18"/>
    </row>
    <row r="567" spans="1:28" ht="15.75">
      <c r="A567" s="18"/>
      <c r="B567" s="23"/>
      <c r="C567" s="22"/>
      <c r="D567" s="23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18"/>
      <c r="V567" s="18"/>
      <c r="W567" s="18"/>
      <c r="AB567" s="18"/>
    </row>
    <row r="568" spans="1:28" ht="15.75">
      <c r="A568" s="18"/>
      <c r="B568" s="23"/>
      <c r="C568" s="22"/>
      <c r="D568" s="23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18"/>
      <c r="V568" s="18"/>
      <c r="W568" s="18"/>
      <c r="AB568" s="18"/>
    </row>
    <row r="569" spans="1:28" ht="15.75">
      <c r="A569" s="18"/>
      <c r="B569" s="23"/>
      <c r="C569" s="22"/>
      <c r="D569" s="23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18"/>
      <c r="V569" s="18"/>
      <c r="W569" s="18"/>
      <c r="AB569" s="18"/>
    </row>
    <row r="570" spans="1:28" ht="15.75">
      <c r="A570" s="18"/>
      <c r="B570" s="23"/>
      <c r="C570" s="22"/>
      <c r="D570" s="23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18"/>
      <c r="V570" s="18"/>
      <c r="W570" s="18"/>
      <c r="AB570" s="18"/>
    </row>
    <row r="571" spans="1:28" ht="15.75">
      <c r="A571" s="18"/>
      <c r="B571" s="23"/>
      <c r="C571" s="22"/>
      <c r="D571" s="23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18"/>
      <c r="V571" s="18"/>
      <c r="W571" s="18"/>
      <c r="AB571" s="18"/>
    </row>
    <row r="572" spans="1:28" ht="15.75">
      <c r="A572" s="18"/>
      <c r="B572" s="23"/>
      <c r="C572" s="22"/>
      <c r="D572" s="23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18"/>
      <c r="V572" s="18"/>
      <c r="W572" s="18"/>
      <c r="AB572" s="18"/>
    </row>
    <row r="573" spans="1:28" ht="15.75">
      <c r="A573" s="18"/>
      <c r="B573" s="23"/>
      <c r="C573" s="22"/>
      <c r="D573" s="23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18"/>
      <c r="V573" s="18"/>
      <c r="W573" s="18"/>
      <c r="AB573" s="18"/>
    </row>
    <row r="574" spans="1:28" ht="15.75">
      <c r="A574" s="18"/>
      <c r="B574" s="23"/>
      <c r="C574" s="22"/>
      <c r="D574" s="23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18"/>
      <c r="V574" s="18"/>
      <c r="W574" s="18"/>
      <c r="AB574" s="18"/>
    </row>
    <row r="575" spans="1:28" ht="15.75">
      <c r="A575" s="18"/>
      <c r="B575" s="23"/>
      <c r="C575" s="22"/>
      <c r="D575" s="23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18"/>
      <c r="V575" s="18"/>
      <c r="W575" s="18"/>
      <c r="AB575" s="18"/>
    </row>
    <row r="576" spans="1:28" ht="15.75">
      <c r="A576" s="18"/>
      <c r="B576" s="23"/>
      <c r="C576" s="22"/>
      <c r="D576" s="23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18"/>
      <c r="V576" s="18"/>
      <c r="W576" s="18"/>
      <c r="AB576" s="18"/>
    </row>
    <row r="577" spans="1:28" ht="15.75">
      <c r="A577" s="18"/>
      <c r="B577" s="23"/>
      <c r="C577" s="22"/>
      <c r="D577" s="23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18"/>
      <c r="V577" s="18"/>
      <c r="W577" s="18"/>
      <c r="AB577" s="18"/>
    </row>
    <row r="578" spans="1:28" ht="15.75">
      <c r="A578" s="18"/>
      <c r="B578" s="23"/>
      <c r="C578" s="22"/>
      <c r="D578" s="23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18"/>
      <c r="V578" s="18"/>
      <c r="W578" s="18"/>
      <c r="AB578" s="18"/>
    </row>
    <row r="579" spans="1:28" ht="15.75">
      <c r="A579" s="18"/>
      <c r="B579" s="23"/>
      <c r="C579" s="22"/>
      <c r="D579" s="23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18"/>
      <c r="V579" s="18"/>
      <c r="W579" s="18"/>
      <c r="AB579" s="18"/>
    </row>
    <row r="580" spans="1:28" ht="15.75">
      <c r="A580" s="18"/>
      <c r="B580" s="23"/>
      <c r="C580" s="22"/>
      <c r="D580" s="23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18"/>
      <c r="V580" s="18"/>
      <c r="W580" s="18"/>
      <c r="AB580" s="18"/>
    </row>
    <row r="581" spans="1:28" ht="15.75">
      <c r="A581" s="18"/>
      <c r="B581" s="23"/>
      <c r="C581" s="22"/>
      <c r="D581" s="23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18"/>
      <c r="V581" s="18"/>
      <c r="W581" s="18"/>
      <c r="AB581" s="18"/>
    </row>
    <row r="582" spans="1:28" ht="15.75">
      <c r="A582" s="18"/>
      <c r="B582" s="23"/>
      <c r="C582" s="22"/>
      <c r="D582" s="23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18"/>
      <c r="V582" s="18"/>
      <c r="W582" s="18"/>
      <c r="AB582" s="18"/>
    </row>
    <row r="583" spans="1:28" ht="15.75">
      <c r="A583" s="18"/>
      <c r="B583" s="23"/>
      <c r="C583" s="22"/>
      <c r="D583" s="23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18"/>
      <c r="V583" s="18"/>
      <c r="W583" s="18"/>
      <c r="AB583" s="18"/>
    </row>
    <row r="584" spans="1:28" ht="15.75">
      <c r="A584" s="18"/>
      <c r="B584" s="23"/>
      <c r="C584" s="22"/>
      <c r="D584" s="23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18"/>
      <c r="V584" s="18"/>
      <c r="W584" s="18"/>
      <c r="AB584" s="18"/>
    </row>
    <row r="585" spans="1:28" ht="15.75">
      <c r="A585" s="18"/>
      <c r="B585" s="23"/>
      <c r="C585" s="22"/>
      <c r="D585" s="23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18"/>
      <c r="V585" s="18"/>
      <c r="W585" s="18"/>
      <c r="AB585" s="18"/>
    </row>
    <row r="586" spans="1:28" ht="15.75">
      <c r="A586" s="18"/>
      <c r="B586" s="23"/>
      <c r="C586" s="22"/>
      <c r="D586" s="23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18"/>
      <c r="V586" s="18"/>
      <c r="W586" s="18"/>
      <c r="AB586" s="18"/>
    </row>
    <row r="587" spans="1:28" ht="15.75">
      <c r="A587" s="18"/>
      <c r="B587" s="23"/>
      <c r="C587" s="22"/>
      <c r="D587" s="23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18"/>
      <c r="V587" s="18"/>
      <c r="W587" s="18"/>
      <c r="AB587" s="18"/>
    </row>
    <row r="588" spans="1:28" ht="15.75">
      <c r="A588" s="18"/>
      <c r="B588" s="23"/>
      <c r="C588" s="22"/>
      <c r="D588" s="23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18"/>
      <c r="V588" s="18"/>
      <c r="W588" s="18"/>
      <c r="AB588" s="18"/>
    </row>
    <row r="589" spans="1:28" ht="15.75">
      <c r="A589" s="18"/>
      <c r="B589" s="23"/>
      <c r="C589" s="22"/>
      <c r="D589" s="23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18"/>
      <c r="V589" s="18"/>
      <c r="W589" s="18"/>
      <c r="AB589" s="18"/>
    </row>
    <row r="590" spans="1:28" ht="15.75">
      <c r="A590" s="18"/>
      <c r="B590" s="23"/>
      <c r="C590" s="22"/>
      <c r="D590" s="23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18"/>
      <c r="V590" s="18"/>
      <c r="W590" s="18"/>
      <c r="AB590" s="18"/>
    </row>
    <row r="591" spans="1:28" ht="15.75">
      <c r="A591" s="18"/>
      <c r="B591" s="23"/>
      <c r="C591" s="22"/>
      <c r="D591" s="23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18"/>
      <c r="V591" s="18"/>
      <c r="W591" s="18"/>
      <c r="AB591" s="18"/>
    </row>
    <row r="592" spans="1:28" ht="15.75">
      <c r="A592" s="18"/>
      <c r="B592" s="23"/>
      <c r="C592" s="22"/>
      <c r="D592" s="23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18"/>
      <c r="V592" s="18"/>
      <c r="W592" s="18"/>
      <c r="AB592" s="18"/>
    </row>
    <row r="593" spans="1:28" ht="15.75">
      <c r="A593" s="18"/>
      <c r="B593" s="23"/>
      <c r="C593" s="22"/>
      <c r="D593" s="23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18"/>
      <c r="V593" s="18"/>
      <c r="W593" s="18"/>
      <c r="AB593" s="18"/>
    </row>
    <row r="594" spans="1:28" ht="15.75">
      <c r="A594" s="18"/>
      <c r="B594" s="23"/>
      <c r="C594" s="22"/>
      <c r="D594" s="23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18"/>
      <c r="V594" s="18"/>
      <c r="W594" s="18"/>
      <c r="AB594" s="18"/>
    </row>
    <row r="595" spans="1:28" ht="15.75">
      <c r="A595" s="18"/>
      <c r="B595" s="23"/>
      <c r="C595" s="22"/>
      <c r="D595" s="23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18"/>
      <c r="V595" s="18"/>
      <c r="W595" s="18"/>
      <c r="AB595" s="18"/>
    </row>
    <row r="596" spans="1:28" ht="15.75">
      <c r="A596" s="18"/>
      <c r="B596" s="23"/>
      <c r="C596" s="22"/>
      <c r="D596" s="23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18"/>
      <c r="V596" s="18"/>
      <c r="W596" s="18"/>
      <c r="AB596" s="18"/>
    </row>
    <row r="597" spans="1:28" ht="15.75">
      <c r="A597" s="18"/>
      <c r="B597" s="23"/>
      <c r="C597" s="22"/>
      <c r="D597" s="23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18"/>
      <c r="V597" s="18"/>
      <c r="W597" s="18"/>
      <c r="AB597" s="18"/>
    </row>
    <row r="598" spans="1:28" ht="15.75">
      <c r="A598" s="18"/>
      <c r="B598" s="23"/>
      <c r="C598" s="22"/>
      <c r="D598" s="23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18"/>
      <c r="V598" s="18"/>
      <c r="W598" s="18"/>
      <c r="AB598" s="18"/>
    </row>
    <row r="599" spans="1:28" ht="15.75">
      <c r="A599" s="18"/>
      <c r="B599" s="23"/>
      <c r="C599" s="22"/>
      <c r="D599" s="23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18"/>
      <c r="V599" s="18"/>
      <c r="W599" s="18"/>
      <c r="AB599" s="18"/>
    </row>
    <row r="600" spans="1:28" ht="15.75">
      <c r="A600" s="18"/>
      <c r="B600" s="23"/>
      <c r="C600" s="22"/>
      <c r="D600" s="23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18"/>
      <c r="V600" s="18"/>
      <c r="W600" s="18"/>
      <c r="AB600" s="18"/>
    </row>
    <row r="601" spans="1:28" ht="15.75">
      <c r="A601" s="18"/>
      <c r="B601" s="23"/>
      <c r="C601" s="22"/>
      <c r="D601" s="23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18"/>
      <c r="V601" s="18"/>
      <c r="W601" s="18"/>
      <c r="AB601" s="18"/>
    </row>
    <row r="602" spans="1:28" ht="15.75">
      <c r="A602" s="18"/>
      <c r="B602" s="23"/>
      <c r="C602" s="22"/>
      <c r="D602" s="23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18"/>
      <c r="V602" s="18"/>
      <c r="W602" s="18"/>
      <c r="AB602" s="18"/>
    </row>
    <row r="603" spans="1:28" ht="15.75">
      <c r="A603" s="18"/>
      <c r="B603" s="23"/>
      <c r="C603" s="22"/>
      <c r="D603" s="23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18"/>
      <c r="V603" s="18"/>
      <c r="W603" s="18"/>
      <c r="AB603" s="18"/>
    </row>
    <row r="604" spans="1:28" ht="15.75">
      <c r="A604" s="18"/>
      <c r="B604" s="23"/>
      <c r="C604" s="22"/>
      <c r="D604" s="23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18"/>
      <c r="V604" s="18"/>
      <c r="W604" s="18"/>
      <c r="AB604" s="18"/>
    </row>
    <row r="605" spans="1:28" ht="15.75">
      <c r="A605" s="18"/>
      <c r="B605" s="23"/>
      <c r="C605" s="22"/>
      <c r="D605" s="23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18"/>
      <c r="V605" s="18"/>
      <c r="W605" s="18"/>
      <c r="AB605" s="18"/>
    </row>
    <row r="606" spans="1:28" ht="15.75">
      <c r="A606" s="18"/>
      <c r="B606" s="23"/>
      <c r="C606" s="22"/>
      <c r="D606" s="23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18"/>
      <c r="V606" s="18"/>
      <c r="W606" s="18"/>
      <c r="AB606" s="18"/>
    </row>
    <row r="607" spans="1:28" ht="15.75">
      <c r="A607" s="18"/>
      <c r="B607" s="23"/>
      <c r="C607" s="22"/>
      <c r="D607" s="23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18"/>
      <c r="V607" s="18"/>
      <c r="W607" s="18"/>
      <c r="AB607" s="18"/>
    </row>
    <row r="608" spans="1:28" ht="15.75">
      <c r="A608" s="18"/>
      <c r="B608" s="23"/>
      <c r="C608" s="22"/>
      <c r="D608" s="23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18"/>
      <c r="V608" s="18"/>
      <c r="W608" s="18"/>
      <c r="AB608" s="18"/>
    </row>
    <row r="609" spans="1:28" ht="15.75">
      <c r="A609" s="18"/>
      <c r="B609" s="23"/>
      <c r="C609" s="22"/>
      <c r="D609" s="23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18"/>
      <c r="V609" s="18"/>
      <c r="W609" s="18"/>
      <c r="AB609" s="18"/>
    </row>
    <row r="610" spans="1:28" ht="15.75">
      <c r="A610" s="18"/>
      <c r="B610" s="23"/>
      <c r="C610" s="22"/>
      <c r="D610" s="23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18"/>
      <c r="V610" s="18"/>
      <c r="W610" s="18"/>
      <c r="AB610" s="18"/>
    </row>
    <row r="611" spans="1:28" ht="15.75">
      <c r="A611" s="18"/>
      <c r="B611" s="23"/>
      <c r="C611" s="22"/>
      <c r="D611" s="23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18"/>
      <c r="V611" s="18"/>
      <c r="W611" s="18"/>
      <c r="AB611" s="18"/>
    </row>
    <row r="612" spans="1:28" ht="15.75">
      <c r="A612" s="18"/>
      <c r="B612" s="23"/>
      <c r="C612" s="22"/>
      <c r="D612" s="23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18"/>
      <c r="V612" s="18"/>
      <c r="W612" s="18"/>
      <c r="AB612" s="18"/>
    </row>
    <row r="613" spans="1:28" ht="15.75">
      <c r="A613" s="18"/>
      <c r="B613" s="23"/>
      <c r="C613" s="22"/>
      <c r="D613" s="23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18"/>
      <c r="V613" s="18"/>
      <c r="W613" s="18"/>
      <c r="AB613" s="18"/>
    </row>
    <row r="614" spans="1:28" ht="15.75">
      <c r="A614" s="18"/>
      <c r="B614" s="23"/>
      <c r="C614" s="22"/>
      <c r="D614" s="23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18"/>
      <c r="V614" s="18"/>
      <c r="W614" s="18"/>
      <c r="AB614" s="18"/>
    </row>
    <row r="615" spans="1:28" ht="15.75">
      <c r="A615" s="18"/>
      <c r="B615" s="23"/>
      <c r="C615" s="22"/>
      <c r="D615" s="23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18"/>
      <c r="V615" s="18"/>
      <c r="W615" s="18"/>
      <c r="AB615" s="18"/>
    </row>
    <row r="616" spans="1:28" ht="15.75">
      <c r="A616" s="18"/>
      <c r="B616" s="23"/>
      <c r="C616" s="22"/>
      <c r="D616" s="23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18"/>
      <c r="V616" s="18"/>
      <c r="W616" s="18"/>
      <c r="AB616" s="18"/>
    </row>
    <row r="617" spans="1:28" ht="15.75">
      <c r="A617" s="18"/>
      <c r="B617" s="23"/>
      <c r="C617" s="22"/>
      <c r="D617" s="23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18"/>
      <c r="V617" s="18"/>
      <c r="W617" s="18"/>
      <c r="AB617" s="18"/>
    </row>
    <row r="618" spans="1:28" ht="15.75">
      <c r="A618" s="18"/>
      <c r="B618" s="23"/>
      <c r="C618" s="22"/>
      <c r="D618" s="23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18"/>
      <c r="V618" s="18"/>
      <c r="W618" s="18"/>
      <c r="AB618" s="18"/>
    </row>
    <row r="619" spans="1:28" ht="15.75">
      <c r="A619" s="18"/>
      <c r="B619" s="23"/>
      <c r="C619" s="22"/>
      <c r="D619" s="23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18"/>
      <c r="V619" s="18"/>
      <c r="W619" s="18"/>
      <c r="AB619" s="18"/>
    </row>
    <row r="620" spans="1:28" ht="15.75">
      <c r="A620" s="18"/>
      <c r="B620" s="23"/>
      <c r="C620" s="22"/>
      <c r="D620" s="23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18"/>
      <c r="V620" s="18"/>
      <c r="W620" s="18"/>
      <c r="AB620" s="18"/>
    </row>
    <row r="621" spans="1:28" ht="15.75">
      <c r="A621" s="18"/>
      <c r="B621" s="23"/>
      <c r="C621" s="22"/>
      <c r="D621" s="23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18"/>
      <c r="V621" s="18"/>
      <c r="W621" s="18"/>
      <c r="AB621" s="18"/>
    </row>
    <row r="622" spans="1:28" ht="15.75">
      <c r="A622" s="18"/>
      <c r="B622" s="23"/>
      <c r="C622" s="22"/>
      <c r="D622" s="23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18"/>
      <c r="V622" s="18"/>
      <c r="W622" s="18"/>
      <c r="AB622" s="18"/>
    </row>
    <row r="623" spans="1:28" ht="15.75">
      <c r="A623" s="18"/>
      <c r="B623" s="23"/>
      <c r="C623" s="22"/>
      <c r="D623" s="23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18"/>
      <c r="V623" s="18"/>
      <c r="W623" s="18"/>
      <c r="AB623" s="18"/>
    </row>
    <row r="624" spans="1:28" ht="15.75">
      <c r="A624" s="18"/>
      <c r="B624" s="23"/>
      <c r="C624" s="22"/>
      <c r="D624" s="23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18"/>
      <c r="V624" s="18"/>
      <c r="W624" s="18"/>
      <c r="AB624" s="18"/>
    </row>
    <row r="625" spans="1:28" ht="15.75">
      <c r="A625" s="18"/>
      <c r="B625" s="23"/>
      <c r="C625" s="22"/>
      <c r="D625" s="23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18"/>
      <c r="V625" s="18"/>
      <c r="W625" s="18"/>
      <c r="AB625" s="18"/>
    </row>
    <row r="626" spans="1:28" ht="15.75">
      <c r="A626" s="18"/>
      <c r="B626" s="23"/>
      <c r="C626" s="22"/>
      <c r="D626" s="23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18"/>
      <c r="V626" s="18"/>
      <c r="W626" s="18"/>
      <c r="AB626" s="18"/>
    </row>
    <row r="627" spans="1:28" ht="15.75">
      <c r="A627" s="18"/>
      <c r="B627" s="23"/>
      <c r="C627" s="22"/>
      <c r="D627" s="23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18"/>
      <c r="V627" s="18"/>
      <c r="W627" s="18"/>
      <c r="AB627" s="18"/>
    </row>
    <row r="628" spans="1:28" ht="15.75">
      <c r="A628" s="18"/>
      <c r="B628" s="23"/>
      <c r="C628" s="22"/>
      <c r="D628" s="23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18"/>
      <c r="V628" s="18"/>
      <c r="W628" s="18"/>
      <c r="AB628" s="18"/>
    </row>
    <row r="629" spans="1:28" ht="15.75">
      <c r="A629" s="18"/>
      <c r="B629" s="23"/>
      <c r="C629" s="22"/>
      <c r="D629" s="23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18"/>
      <c r="V629" s="18"/>
      <c r="W629" s="18"/>
      <c r="AB629" s="18"/>
    </row>
    <row r="630" spans="1:28" ht="15.75">
      <c r="A630" s="18"/>
      <c r="B630" s="23"/>
      <c r="C630" s="22"/>
      <c r="D630" s="23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18"/>
      <c r="V630" s="18"/>
      <c r="W630" s="18"/>
      <c r="AB630" s="18"/>
    </row>
    <row r="631" spans="1:28" ht="15.75">
      <c r="A631" s="18"/>
      <c r="B631" s="23"/>
      <c r="C631" s="22"/>
      <c r="D631" s="23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18"/>
      <c r="V631" s="18"/>
      <c r="W631" s="18"/>
      <c r="AB631" s="18"/>
    </row>
    <row r="632" spans="1:28" ht="15.75">
      <c r="A632" s="18"/>
      <c r="B632" s="23"/>
      <c r="C632" s="22"/>
      <c r="D632" s="23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18"/>
      <c r="V632" s="18"/>
      <c r="W632" s="18"/>
      <c r="AB632" s="18"/>
    </row>
    <row r="633" spans="1:28" ht="15.75">
      <c r="A633" s="18"/>
      <c r="B633" s="23"/>
      <c r="C633" s="22"/>
      <c r="D633" s="23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18"/>
      <c r="V633" s="18"/>
      <c r="W633" s="18"/>
      <c r="AB633" s="18"/>
    </row>
    <row r="634" spans="1:28" ht="15.75">
      <c r="A634" s="18"/>
      <c r="B634" s="23"/>
      <c r="C634" s="22"/>
      <c r="D634" s="23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18"/>
      <c r="V634" s="18"/>
      <c r="W634" s="18"/>
      <c r="AB634" s="18"/>
    </row>
    <row r="635" spans="1:28" ht="15.75">
      <c r="A635" s="18"/>
      <c r="B635" s="23"/>
      <c r="C635" s="22"/>
      <c r="D635" s="23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18"/>
      <c r="V635" s="18"/>
      <c r="W635" s="18"/>
      <c r="AB635" s="18"/>
    </row>
    <row r="636" spans="1:28" ht="15.75">
      <c r="A636" s="18"/>
      <c r="B636" s="23"/>
      <c r="C636" s="22"/>
      <c r="D636" s="23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18"/>
      <c r="V636" s="18"/>
      <c r="W636" s="18"/>
      <c r="AB636" s="18"/>
    </row>
    <row r="637" spans="1:28" ht="15.75">
      <c r="A637" s="18"/>
      <c r="B637" s="23"/>
      <c r="C637" s="22"/>
      <c r="D637" s="23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18"/>
      <c r="V637" s="18"/>
      <c r="W637" s="18"/>
      <c r="AB637" s="18"/>
    </row>
    <row r="638" spans="1:28" ht="15.75">
      <c r="A638" s="18"/>
      <c r="B638" s="23"/>
      <c r="C638" s="22"/>
      <c r="D638" s="23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18"/>
      <c r="V638" s="18"/>
      <c r="W638" s="18"/>
      <c r="AB638" s="18"/>
    </row>
    <row r="639" spans="1:28" ht="15.75">
      <c r="A639" s="18"/>
      <c r="B639" s="23"/>
      <c r="C639" s="22"/>
      <c r="D639" s="23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18"/>
      <c r="V639" s="18"/>
      <c r="W639" s="18"/>
      <c r="AB639" s="18"/>
    </row>
    <row r="640" spans="1:28" ht="15.75">
      <c r="A640" s="18"/>
      <c r="B640" s="23"/>
      <c r="C640" s="22"/>
      <c r="D640" s="23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18"/>
      <c r="V640" s="18"/>
      <c r="W640" s="18"/>
      <c r="AB640" s="18"/>
    </row>
    <row r="641" spans="1:28" ht="15.75">
      <c r="A641" s="18"/>
      <c r="B641" s="23"/>
      <c r="C641" s="22"/>
      <c r="D641" s="23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18"/>
      <c r="V641" s="18"/>
      <c r="W641" s="18"/>
      <c r="AB641" s="18"/>
    </row>
    <row r="642" spans="1:28" ht="15.75">
      <c r="A642" s="18"/>
      <c r="B642" s="23"/>
      <c r="C642" s="22"/>
      <c r="D642" s="23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18"/>
      <c r="V642" s="18"/>
      <c r="W642" s="18"/>
      <c r="AB642" s="18"/>
    </row>
    <row r="643" spans="1:28" ht="15.75">
      <c r="A643" s="18"/>
      <c r="B643" s="23"/>
      <c r="C643" s="22"/>
      <c r="D643" s="23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18"/>
      <c r="V643" s="18"/>
      <c r="W643" s="18"/>
      <c r="AB643" s="18"/>
    </row>
    <row r="644" spans="1:28" ht="15.75">
      <c r="A644" s="18"/>
      <c r="B644" s="23"/>
      <c r="C644" s="22"/>
      <c r="D644" s="23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18"/>
      <c r="V644" s="18"/>
      <c r="W644" s="18"/>
      <c r="AB644" s="18"/>
    </row>
    <row r="645" spans="1:28" ht="15.75">
      <c r="A645" s="18"/>
      <c r="B645" s="23"/>
      <c r="C645" s="22"/>
      <c r="D645" s="23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18"/>
      <c r="V645" s="18"/>
      <c r="W645" s="18"/>
      <c r="AB645" s="18"/>
    </row>
    <row r="646" spans="1:28" ht="15.75">
      <c r="A646" s="18"/>
      <c r="B646" s="23"/>
      <c r="C646" s="22"/>
      <c r="D646" s="23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18"/>
      <c r="V646" s="18"/>
      <c r="W646" s="18"/>
      <c r="AB646" s="18"/>
    </row>
    <row r="647" spans="1:28" ht="15.75">
      <c r="A647" s="18"/>
      <c r="B647" s="23"/>
      <c r="C647" s="22"/>
      <c r="D647" s="23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18"/>
      <c r="V647" s="18"/>
      <c r="W647" s="18"/>
      <c r="AB647" s="18"/>
    </row>
    <row r="648" spans="1:28" ht="15.75">
      <c r="A648" s="18"/>
      <c r="B648" s="23"/>
      <c r="C648" s="22"/>
      <c r="D648" s="23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18"/>
      <c r="V648" s="18"/>
      <c r="W648" s="18"/>
      <c r="AB648" s="18"/>
    </row>
    <row r="649" spans="1:28" ht="15.75">
      <c r="A649" s="18"/>
      <c r="B649" s="23"/>
      <c r="C649" s="22"/>
      <c r="D649" s="23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18"/>
      <c r="V649" s="18"/>
      <c r="W649" s="18"/>
      <c r="AB649" s="18"/>
    </row>
    <row r="650" spans="1:28" ht="15.75">
      <c r="A650" s="18"/>
      <c r="B650" s="23"/>
      <c r="C650" s="22"/>
      <c r="D650" s="23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18"/>
      <c r="V650" s="18"/>
      <c r="W650" s="18"/>
      <c r="AB650" s="18"/>
    </row>
    <row r="651" spans="1:28" ht="15.75">
      <c r="A651" s="18"/>
      <c r="B651" s="23"/>
      <c r="C651" s="22"/>
      <c r="D651" s="23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18"/>
      <c r="V651" s="18"/>
      <c r="W651" s="18"/>
      <c r="AB651" s="18"/>
    </row>
    <row r="652" spans="1:28" ht="15.75">
      <c r="A652" s="18"/>
      <c r="B652" s="23"/>
      <c r="C652" s="22"/>
      <c r="D652" s="23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18"/>
      <c r="V652" s="18"/>
      <c r="W652" s="18"/>
      <c r="AB652" s="18"/>
    </row>
    <row r="653" spans="1:28" ht="15.75">
      <c r="A653" s="18"/>
      <c r="B653" s="23"/>
      <c r="C653" s="22"/>
      <c r="D653" s="23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18"/>
      <c r="V653" s="18"/>
      <c r="W653" s="18"/>
      <c r="AB653" s="18"/>
    </row>
    <row r="654" spans="1:28" ht="15.75">
      <c r="A654" s="18"/>
      <c r="B654" s="23"/>
      <c r="C654" s="22"/>
      <c r="D654" s="23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18"/>
      <c r="V654" s="18"/>
      <c r="W654" s="18"/>
      <c r="AB654" s="18"/>
    </row>
    <row r="655" spans="1:28" ht="15.75">
      <c r="A655" s="18"/>
      <c r="B655" s="23"/>
      <c r="C655" s="22"/>
      <c r="D655" s="23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18"/>
      <c r="V655" s="18"/>
      <c r="W655" s="18"/>
      <c r="AB655" s="18"/>
    </row>
    <row r="656" spans="1:28" ht="15.75">
      <c r="A656" s="18"/>
      <c r="B656" s="23"/>
      <c r="C656" s="22"/>
      <c r="D656" s="23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18"/>
      <c r="V656" s="18"/>
      <c r="W656" s="18"/>
      <c r="AB656" s="18"/>
    </row>
    <row r="657" spans="1:28" ht="15.75">
      <c r="A657" s="18"/>
      <c r="B657" s="23"/>
      <c r="C657" s="22"/>
      <c r="D657" s="23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18"/>
      <c r="V657" s="18"/>
      <c r="W657" s="18"/>
      <c r="AB657" s="18"/>
    </row>
    <row r="658" spans="1:28" ht="15.75">
      <c r="A658" s="18"/>
      <c r="B658" s="23"/>
      <c r="C658" s="22"/>
      <c r="D658" s="23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18"/>
      <c r="V658" s="18"/>
      <c r="W658" s="18"/>
      <c r="AB658" s="18"/>
    </row>
    <row r="659" spans="1:28" ht="15.75">
      <c r="A659" s="18"/>
      <c r="B659" s="23"/>
      <c r="C659" s="22"/>
      <c r="D659" s="23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18"/>
      <c r="V659" s="18"/>
      <c r="W659" s="18"/>
      <c r="AB659" s="18"/>
    </row>
    <row r="660" spans="1:28" ht="15.75">
      <c r="A660" s="18"/>
      <c r="B660" s="23"/>
      <c r="C660" s="22"/>
      <c r="D660" s="23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18"/>
      <c r="V660" s="18"/>
      <c r="W660" s="18"/>
      <c r="AB660" s="18"/>
    </row>
    <row r="661" spans="1:28" ht="15.75">
      <c r="A661" s="18"/>
      <c r="B661" s="23"/>
      <c r="C661" s="22"/>
      <c r="D661" s="23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18"/>
      <c r="V661" s="18"/>
      <c r="W661" s="18"/>
      <c r="AB661" s="18"/>
    </row>
    <row r="662" spans="1:28" ht="15.75">
      <c r="A662" s="18"/>
      <c r="B662" s="23"/>
      <c r="C662" s="22"/>
      <c r="D662" s="23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18"/>
      <c r="V662" s="18"/>
      <c r="W662" s="18"/>
      <c r="AB662" s="18"/>
    </row>
    <row r="663" spans="1:28" ht="15.75">
      <c r="A663" s="18"/>
      <c r="B663" s="23"/>
      <c r="C663" s="22"/>
      <c r="D663" s="23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18"/>
      <c r="V663" s="18"/>
      <c r="W663" s="18"/>
      <c r="AB663" s="18"/>
    </row>
    <row r="664" spans="1:28" ht="15.75">
      <c r="A664" s="18"/>
      <c r="B664" s="23"/>
      <c r="C664" s="22"/>
      <c r="D664" s="23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18"/>
      <c r="V664" s="18"/>
      <c r="W664" s="18"/>
      <c r="AB664" s="18"/>
    </row>
    <row r="665" spans="1:28" ht="15.75">
      <c r="A665" s="18"/>
      <c r="B665" s="23"/>
      <c r="C665" s="22"/>
      <c r="D665" s="23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18"/>
      <c r="V665" s="18"/>
      <c r="W665" s="18"/>
      <c r="AB665" s="18"/>
    </row>
    <row r="666" spans="1:28" ht="15.75">
      <c r="A666" s="18"/>
      <c r="B666" s="23"/>
      <c r="C666" s="22"/>
      <c r="D666" s="23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18"/>
      <c r="V666" s="18"/>
      <c r="W666" s="18"/>
      <c r="AB666" s="18"/>
    </row>
    <row r="667" spans="1:28" ht="15.75">
      <c r="A667" s="18"/>
      <c r="B667" s="23"/>
      <c r="C667" s="22"/>
      <c r="D667" s="23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18"/>
      <c r="V667" s="18"/>
      <c r="W667" s="18"/>
      <c r="AB667" s="18"/>
    </row>
    <row r="668" spans="1:28" ht="15.75">
      <c r="A668" s="18"/>
      <c r="B668" s="23"/>
      <c r="C668" s="22"/>
      <c r="D668" s="23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18"/>
      <c r="V668" s="18"/>
      <c r="W668" s="18"/>
      <c r="AB668" s="18"/>
    </row>
    <row r="669" spans="1:28" ht="15.75">
      <c r="A669" s="18"/>
      <c r="B669" s="23"/>
      <c r="C669" s="22"/>
      <c r="D669" s="23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18"/>
      <c r="V669" s="18"/>
      <c r="W669" s="18"/>
      <c r="AB669" s="18"/>
    </row>
    <row r="670" spans="1:28" ht="15.75">
      <c r="A670" s="18"/>
      <c r="B670" s="23"/>
      <c r="C670" s="22"/>
      <c r="D670" s="23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18"/>
      <c r="V670" s="18"/>
      <c r="W670" s="18"/>
      <c r="AB670" s="18"/>
    </row>
    <row r="671" spans="1:28" ht="15.75">
      <c r="A671" s="18"/>
      <c r="B671" s="23"/>
      <c r="C671" s="22"/>
      <c r="D671" s="23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18"/>
      <c r="V671" s="18"/>
      <c r="W671" s="18"/>
      <c r="AB671" s="18"/>
    </row>
    <row r="672" spans="1:28" ht="15.75">
      <c r="A672" s="18"/>
      <c r="B672" s="23"/>
      <c r="C672" s="22"/>
      <c r="D672" s="23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18"/>
      <c r="V672" s="18"/>
      <c r="W672" s="18"/>
      <c r="AB672" s="18"/>
    </row>
    <row r="673" spans="1:28" ht="15.75">
      <c r="A673" s="18"/>
      <c r="B673" s="23"/>
      <c r="C673" s="22"/>
      <c r="D673" s="23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18"/>
      <c r="V673" s="18"/>
      <c r="W673" s="18"/>
      <c r="AB673" s="18"/>
    </row>
    <row r="674" spans="1:28" ht="15.75">
      <c r="A674" s="18"/>
      <c r="B674" s="23"/>
      <c r="C674" s="22"/>
      <c r="D674" s="23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18"/>
      <c r="V674" s="18"/>
      <c r="W674" s="18"/>
      <c r="AB674" s="18"/>
    </row>
    <row r="675" spans="1:28" ht="15.75">
      <c r="A675" s="18"/>
      <c r="B675" s="23"/>
      <c r="C675" s="22"/>
      <c r="D675" s="23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18"/>
      <c r="V675" s="18"/>
      <c r="W675" s="18"/>
      <c r="AB675" s="18"/>
    </row>
    <row r="676" spans="1:28" ht="15.75">
      <c r="A676" s="18"/>
      <c r="B676" s="23"/>
      <c r="C676" s="22"/>
      <c r="D676" s="23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18"/>
      <c r="V676" s="18"/>
      <c r="W676" s="18"/>
      <c r="AB676" s="18"/>
    </row>
    <row r="677" spans="1:28" ht="15.75">
      <c r="A677" s="18"/>
      <c r="B677" s="23"/>
      <c r="C677" s="22"/>
      <c r="D677" s="23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18"/>
      <c r="V677" s="18"/>
      <c r="W677" s="18"/>
      <c r="AB677" s="18"/>
    </row>
    <row r="678" spans="1:28" ht="15.75">
      <c r="A678" s="18"/>
      <c r="B678" s="23"/>
      <c r="C678" s="22"/>
      <c r="D678" s="23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18"/>
      <c r="V678" s="18"/>
      <c r="W678" s="18"/>
      <c r="AB678" s="18"/>
    </row>
    <row r="679" spans="1:28" ht="15.75">
      <c r="A679" s="18"/>
      <c r="B679" s="23"/>
      <c r="C679" s="22"/>
      <c r="D679" s="23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18"/>
      <c r="V679" s="18"/>
      <c r="W679" s="18"/>
      <c r="AB679" s="18"/>
    </row>
    <row r="680" spans="1:28" ht="15.75">
      <c r="A680" s="18"/>
      <c r="B680" s="23"/>
      <c r="C680" s="22"/>
      <c r="D680" s="23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18"/>
      <c r="V680" s="18"/>
      <c r="W680" s="18"/>
      <c r="AB680" s="18"/>
    </row>
    <row r="681" spans="1:28" ht="15.75">
      <c r="A681" s="18"/>
      <c r="B681" s="23"/>
      <c r="C681" s="22"/>
      <c r="D681" s="23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18"/>
      <c r="V681" s="18"/>
      <c r="W681" s="18"/>
      <c r="AB681" s="18"/>
    </row>
    <row r="682" spans="1:28" ht="15.75">
      <c r="A682" s="18"/>
      <c r="B682" s="23"/>
      <c r="C682" s="22"/>
      <c r="D682" s="23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18"/>
      <c r="V682" s="18"/>
      <c r="W682" s="18"/>
      <c r="AB682" s="18"/>
    </row>
    <row r="683" spans="1:28" ht="15.75">
      <c r="A683" s="18"/>
      <c r="B683" s="23"/>
      <c r="C683" s="22"/>
      <c r="D683" s="23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18"/>
      <c r="V683" s="18"/>
      <c r="W683" s="18"/>
      <c r="AB683" s="18"/>
    </row>
    <row r="684" spans="1:28" ht="15.75">
      <c r="A684" s="18"/>
      <c r="B684" s="23"/>
      <c r="C684" s="22"/>
      <c r="D684" s="23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18"/>
      <c r="V684" s="18"/>
      <c r="W684" s="18"/>
      <c r="AB684" s="18"/>
    </row>
    <row r="685" spans="1:28" ht="15.75">
      <c r="A685" s="18"/>
      <c r="B685" s="23"/>
      <c r="C685" s="22"/>
      <c r="D685" s="23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18"/>
      <c r="V685" s="18"/>
      <c r="W685" s="18"/>
      <c r="AB685" s="18"/>
    </row>
    <row r="686" spans="1:28" ht="15.75">
      <c r="A686" s="18"/>
      <c r="B686" s="23"/>
      <c r="C686" s="22"/>
      <c r="D686" s="23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18"/>
      <c r="V686" s="18"/>
      <c r="W686" s="18"/>
      <c r="AB686" s="18"/>
    </row>
    <row r="687" spans="1:28" ht="15.75">
      <c r="A687" s="18"/>
      <c r="B687" s="23"/>
      <c r="C687" s="22"/>
      <c r="D687" s="23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18"/>
      <c r="V687" s="18"/>
      <c r="W687" s="18"/>
      <c r="AB687" s="18"/>
    </row>
    <row r="688" spans="1:28" ht="15.75">
      <c r="A688" s="18"/>
      <c r="B688" s="23"/>
      <c r="C688" s="22"/>
      <c r="D688" s="23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18"/>
      <c r="V688" s="18"/>
      <c r="W688" s="18"/>
      <c r="AB688" s="18"/>
    </row>
    <row r="689" spans="1:28" ht="15.75">
      <c r="A689" s="18"/>
      <c r="B689" s="23"/>
      <c r="C689" s="22"/>
      <c r="D689" s="23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18"/>
      <c r="V689" s="18"/>
      <c r="W689" s="18"/>
      <c r="AB689" s="18"/>
    </row>
    <row r="690" spans="1:28" ht="15.75">
      <c r="A690" s="18"/>
      <c r="B690" s="23"/>
      <c r="C690" s="22"/>
      <c r="D690" s="23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18"/>
      <c r="V690" s="18"/>
      <c r="W690" s="18"/>
      <c r="AB690" s="18"/>
    </row>
    <row r="691" spans="1:28" ht="15.75">
      <c r="A691" s="18"/>
      <c r="B691" s="23"/>
      <c r="C691" s="22"/>
      <c r="D691" s="23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18"/>
      <c r="V691" s="18"/>
      <c r="W691" s="18"/>
      <c r="AB691" s="18"/>
    </row>
    <row r="692" spans="1:28" ht="15.75">
      <c r="A692" s="18"/>
      <c r="B692" s="23"/>
      <c r="C692" s="22"/>
      <c r="D692" s="23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18"/>
      <c r="V692" s="18"/>
      <c r="W692" s="18"/>
      <c r="AB692" s="18"/>
    </row>
    <row r="693" spans="1:28" ht="15.75">
      <c r="A693" s="18"/>
      <c r="B693" s="23"/>
      <c r="C693" s="22"/>
      <c r="D693" s="23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18"/>
      <c r="V693" s="18"/>
      <c r="W693" s="18"/>
      <c r="AB693" s="18"/>
    </row>
    <row r="694" spans="1:28" ht="15.75">
      <c r="A694" s="18"/>
      <c r="B694" s="23"/>
      <c r="C694" s="22"/>
      <c r="D694" s="23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18"/>
      <c r="V694" s="18"/>
      <c r="W694" s="18"/>
      <c r="AB694" s="18"/>
    </row>
    <row r="695" spans="1:28" ht="15.75">
      <c r="A695" s="18"/>
      <c r="B695" s="23"/>
      <c r="C695" s="22"/>
      <c r="D695" s="23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18"/>
      <c r="V695" s="18"/>
      <c r="W695" s="18"/>
      <c r="AB695" s="18"/>
    </row>
    <row r="696" spans="1:28" ht="15.75">
      <c r="A696" s="18"/>
      <c r="B696" s="23"/>
      <c r="C696" s="22"/>
      <c r="D696" s="23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18"/>
      <c r="V696" s="18"/>
      <c r="W696" s="18"/>
      <c r="AB696" s="18"/>
    </row>
    <row r="697" spans="1:28" ht="15.75">
      <c r="A697" s="18"/>
      <c r="B697" s="23"/>
      <c r="C697" s="22"/>
      <c r="D697" s="23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18"/>
      <c r="V697" s="18"/>
      <c r="W697" s="18"/>
      <c r="AB697" s="18"/>
    </row>
    <row r="698" spans="1:28" ht="15.75">
      <c r="A698" s="18"/>
      <c r="B698" s="23"/>
      <c r="C698" s="22"/>
      <c r="D698" s="23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18"/>
      <c r="V698" s="18"/>
      <c r="W698" s="18"/>
      <c r="AB698" s="18"/>
    </row>
    <row r="699" spans="1:28" ht="15.75">
      <c r="A699" s="18"/>
      <c r="B699" s="23"/>
      <c r="C699" s="22"/>
      <c r="D699" s="23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18"/>
      <c r="V699" s="18"/>
      <c r="W699" s="18"/>
      <c r="AB699" s="18"/>
    </row>
    <row r="700" spans="1:28" ht="15.75">
      <c r="A700" s="18"/>
      <c r="B700" s="23"/>
      <c r="C700" s="22"/>
      <c r="D700" s="23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18"/>
      <c r="V700" s="18"/>
      <c r="W700" s="18"/>
      <c r="AB700" s="18"/>
    </row>
    <row r="701" spans="1:28" ht="15.75">
      <c r="A701" s="18"/>
      <c r="B701" s="23"/>
      <c r="C701" s="22"/>
      <c r="D701" s="23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18"/>
      <c r="V701" s="18"/>
      <c r="W701" s="18"/>
      <c r="AB701" s="18"/>
    </row>
    <row r="702" spans="1:28" ht="15.75">
      <c r="A702" s="18"/>
      <c r="B702" s="23"/>
      <c r="C702" s="22"/>
      <c r="D702" s="23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18"/>
      <c r="V702" s="18"/>
      <c r="W702" s="18"/>
      <c r="AB702" s="18"/>
    </row>
    <row r="703" spans="1:28" ht="15.75">
      <c r="A703" s="18"/>
      <c r="B703" s="23"/>
      <c r="C703" s="22"/>
      <c r="D703" s="23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18"/>
      <c r="V703" s="18"/>
      <c r="W703" s="18"/>
      <c r="AB703" s="18"/>
    </row>
    <row r="704" spans="1:28" ht="15.75">
      <c r="A704" s="18"/>
      <c r="B704" s="23"/>
      <c r="C704" s="22"/>
      <c r="D704" s="23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18"/>
      <c r="V704" s="18"/>
      <c r="W704" s="18"/>
      <c r="AB704" s="18"/>
    </row>
    <row r="705" spans="1:28" ht="15.75">
      <c r="A705" s="18"/>
      <c r="B705" s="23"/>
      <c r="C705" s="22"/>
      <c r="D705" s="23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18"/>
      <c r="V705" s="18"/>
      <c r="W705" s="18"/>
      <c r="AB705" s="18"/>
    </row>
    <row r="706" spans="1:28" ht="15.75">
      <c r="A706" s="18"/>
      <c r="B706" s="23"/>
      <c r="C706" s="22"/>
      <c r="D706" s="23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18"/>
      <c r="V706" s="18"/>
      <c r="W706" s="18"/>
      <c r="AB706" s="18"/>
    </row>
    <row r="707" spans="1:28" ht="15.75">
      <c r="A707" s="18"/>
      <c r="B707" s="23"/>
      <c r="C707" s="22"/>
      <c r="D707" s="23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18"/>
      <c r="V707" s="18"/>
      <c r="W707" s="18"/>
      <c r="AB707" s="18"/>
    </row>
    <row r="708" spans="1:28" ht="15.75">
      <c r="A708" s="18"/>
      <c r="B708" s="23"/>
      <c r="C708" s="22"/>
      <c r="D708" s="23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18"/>
      <c r="V708" s="18"/>
      <c r="W708" s="18"/>
      <c r="AB708" s="18"/>
    </row>
    <row r="709" spans="1:28" ht="15.75">
      <c r="A709" s="18"/>
      <c r="B709" s="23"/>
      <c r="C709" s="22"/>
      <c r="D709" s="23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18"/>
      <c r="V709" s="18"/>
      <c r="W709" s="18"/>
      <c r="AB709" s="18"/>
    </row>
    <row r="710" spans="1:28" ht="15.75">
      <c r="A710" s="18"/>
      <c r="B710" s="23"/>
      <c r="C710" s="22"/>
      <c r="D710" s="23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18"/>
      <c r="V710" s="18"/>
      <c r="W710" s="18"/>
      <c r="AB710" s="18"/>
    </row>
    <row r="711" spans="1:28" ht="15.75">
      <c r="A711" s="18"/>
      <c r="B711" s="23"/>
      <c r="C711" s="22"/>
      <c r="D711" s="23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18"/>
      <c r="V711" s="18"/>
      <c r="W711" s="18"/>
      <c r="AB711" s="18"/>
    </row>
    <row r="712" spans="1:28" ht="15.75">
      <c r="A712" s="18"/>
      <c r="B712" s="23"/>
      <c r="C712" s="22"/>
      <c r="D712" s="23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18"/>
      <c r="V712" s="18"/>
      <c r="W712" s="18"/>
      <c r="AB712" s="18"/>
    </row>
    <row r="713" spans="1:28" ht="15.75">
      <c r="A713" s="18"/>
      <c r="B713" s="23"/>
      <c r="C713" s="22"/>
      <c r="D713" s="23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18"/>
      <c r="V713" s="18"/>
      <c r="W713" s="18"/>
      <c r="AB713" s="18"/>
    </row>
    <row r="714" spans="1:28" ht="15.75">
      <c r="A714" s="18"/>
      <c r="B714" s="23"/>
      <c r="C714" s="22"/>
      <c r="D714" s="23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18"/>
      <c r="V714" s="18"/>
      <c r="W714" s="18"/>
      <c r="AB714" s="18"/>
    </row>
    <row r="715" spans="1:28" ht="15.75">
      <c r="A715" s="18"/>
      <c r="B715" s="23"/>
      <c r="C715" s="22"/>
      <c r="D715" s="23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18"/>
      <c r="V715" s="18"/>
      <c r="W715" s="18"/>
      <c r="AB715" s="18"/>
    </row>
    <row r="716" spans="1:28" ht="15.75">
      <c r="A716" s="18"/>
      <c r="B716" s="23"/>
      <c r="C716" s="22"/>
      <c r="D716" s="23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18"/>
      <c r="V716" s="18"/>
      <c r="W716" s="18"/>
      <c r="AB716" s="18"/>
    </row>
    <row r="717" spans="1:28" ht="15.75">
      <c r="A717" s="18"/>
      <c r="B717" s="23"/>
      <c r="C717" s="22"/>
      <c r="D717" s="23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18"/>
      <c r="V717" s="18"/>
      <c r="W717" s="18"/>
      <c r="AB717" s="18"/>
    </row>
    <row r="718" spans="1:28" ht="15.75">
      <c r="A718" s="18"/>
      <c r="B718" s="23"/>
      <c r="C718" s="22"/>
      <c r="D718" s="23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18"/>
      <c r="V718" s="18"/>
      <c r="W718" s="18"/>
      <c r="AB718" s="18"/>
    </row>
    <row r="719" spans="1:28" ht="15.75">
      <c r="A719" s="18"/>
      <c r="B719" s="23"/>
      <c r="C719" s="22"/>
      <c r="D719" s="23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18"/>
      <c r="V719" s="18"/>
      <c r="W719" s="18"/>
      <c r="AB719" s="18"/>
    </row>
    <row r="720" spans="1:28" ht="15.75">
      <c r="A720" s="18"/>
      <c r="B720" s="23"/>
      <c r="C720" s="22"/>
      <c r="D720" s="23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18"/>
      <c r="V720" s="18"/>
      <c r="W720" s="18"/>
      <c r="AB720" s="18"/>
    </row>
    <row r="721" spans="1:28" ht="15.75">
      <c r="A721" s="18"/>
      <c r="B721" s="23"/>
      <c r="C721" s="22"/>
      <c r="D721" s="23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18"/>
      <c r="V721" s="18"/>
      <c r="W721" s="18"/>
      <c r="AB721" s="18"/>
    </row>
    <row r="722" spans="1:28" ht="15.75">
      <c r="A722" s="18"/>
      <c r="B722" s="23"/>
      <c r="C722" s="22"/>
      <c r="D722" s="23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18"/>
      <c r="V722" s="18"/>
      <c r="W722" s="18"/>
      <c r="AB722" s="18"/>
    </row>
    <row r="723" spans="1:28" ht="15.75">
      <c r="A723" s="18"/>
      <c r="B723" s="23"/>
      <c r="C723" s="22"/>
      <c r="D723" s="23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18"/>
      <c r="V723" s="18"/>
      <c r="W723" s="18"/>
      <c r="AB723" s="18"/>
    </row>
    <row r="724" spans="1:28" ht="15.75">
      <c r="A724" s="18"/>
      <c r="B724" s="23"/>
      <c r="C724" s="22"/>
      <c r="D724" s="23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18"/>
      <c r="V724" s="18"/>
      <c r="W724" s="18"/>
      <c r="AB724" s="18"/>
    </row>
    <row r="725" spans="1:28" ht="15.75">
      <c r="A725" s="18"/>
      <c r="B725" s="23"/>
      <c r="C725" s="22"/>
      <c r="D725" s="23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18"/>
      <c r="V725" s="18"/>
      <c r="W725" s="18"/>
      <c r="AB725" s="18"/>
    </row>
    <row r="726" spans="1:28" ht="15.75">
      <c r="A726" s="18"/>
      <c r="B726" s="23"/>
      <c r="C726" s="22"/>
      <c r="D726" s="23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18"/>
      <c r="V726" s="18"/>
      <c r="W726" s="18"/>
      <c r="AB726" s="18"/>
    </row>
    <row r="727" spans="1:28" ht="15.75">
      <c r="A727" s="18"/>
      <c r="B727" s="23"/>
      <c r="C727" s="22"/>
      <c r="D727" s="23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18"/>
      <c r="V727" s="18"/>
      <c r="W727" s="18"/>
      <c r="AB727" s="18"/>
    </row>
    <row r="728" spans="1:28" ht="15.75">
      <c r="A728" s="18"/>
      <c r="B728" s="23"/>
      <c r="C728" s="22"/>
      <c r="D728" s="23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18"/>
      <c r="V728" s="18"/>
      <c r="W728" s="18"/>
      <c r="AB728" s="18"/>
    </row>
    <row r="729" spans="1:28" ht="15.75">
      <c r="A729" s="18"/>
      <c r="B729" s="23"/>
      <c r="C729" s="22"/>
      <c r="D729" s="23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18"/>
      <c r="V729" s="18"/>
      <c r="W729" s="18"/>
      <c r="AB729" s="18"/>
    </row>
    <row r="730" spans="1:28" ht="15.75">
      <c r="A730" s="18"/>
      <c r="B730" s="23"/>
      <c r="C730" s="22"/>
      <c r="D730" s="23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18"/>
      <c r="V730" s="18"/>
      <c r="W730" s="18"/>
      <c r="AB730" s="18"/>
    </row>
    <row r="731" spans="1:28" ht="15.75">
      <c r="A731" s="18"/>
      <c r="B731" s="23"/>
      <c r="C731" s="22"/>
      <c r="D731" s="23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18"/>
      <c r="V731" s="18"/>
      <c r="W731" s="18"/>
      <c r="AB731" s="18"/>
    </row>
    <row r="732" spans="1:28" ht="15.75">
      <c r="A732" s="18"/>
      <c r="B732" s="23"/>
      <c r="C732" s="22"/>
      <c r="D732" s="23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18"/>
      <c r="V732" s="18"/>
      <c r="W732" s="18"/>
      <c r="AB732" s="18"/>
    </row>
    <row r="733" spans="1:28" ht="15.75">
      <c r="A733" s="18"/>
      <c r="B733" s="23"/>
      <c r="C733" s="22"/>
      <c r="D733" s="23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18"/>
      <c r="V733" s="18"/>
      <c r="W733" s="18"/>
      <c r="AB733" s="18"/>
    </row>
    <row r="734" spans="1:28" ht="15.75">
      <c r="A734" s="18"/>
      <c r="B734" s="23"/>
      <c r="C734" s="22"/>
      <c r="D734" s="23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18"/>
      <c r="V734" s="18"/>
      <c r="W734" s="18"/>
      <c r="AB734" s="18"/>
    </row>
    <row r="735" spans="1:28" ht="15.75">
      <c r="A735" s="18"/>
      <c r="B735" s="23"/>
      <c r="C735" s="22"/>
      <c r="D735" s="23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18"/>
      <c r="V735" s="18"/>
      <c r="W735" s="18"/>
      <c r="AB735" s="18"/>
    </row>
    <row r="736" spans="1:28" ht="15.75">
      <c r="A736" s="18"/>
      <c r="B736" s="23"/>
      <c r="C736" s="22"/>
      <c r="D736" s="23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18"/>
      <c r="V736" s="18"/>
      <c r="W736" s="18"/>
      <c r="AB736" s="18"/>
    </row>
    <row r="737" spans="1:28" ht="15.75">
      <c r="A737" s="18"/>
      <c r="B737" s="23"/>
      <c r="C737" s="22"/>
      <c r="D737" s="23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18"/>
      <c r="V737" s="18"/>
      <c r="W737" s="18"/>
      <c r="AB737" s="18"/>
    </row>
    <row r="738" spans="1:28" ht="15.75">
      <c r="A738" s="18"/>
      <c r="B738" s="23"/>
      <c r="C738" s="22"/>
      <c r="D738" s="23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18"/>
      <c r="V738" s="18"/>
      <c r="W738" s="18"/>
      <c r="AB738" s="18"/>
    </row>
    <row r="739" spans="1:28" ht="15.75">
      <c r="A739" s="18"/>
      <c r="B739" s="23"/>
      <c r="C739" s="22"/>
      <c r="D739" s="23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18"/>
      <c r="V739" s="18"/>
      <c r="W739" s="18"/>
      <c r="AB739" s="18"/>
    </row>
    <row r="740" spans="1:28" ht="15.75">
      <c r="A740" s="18"/>
      <c r="B740" s="23"/>
      <c r="C740" s="22"/>
      <c r="D740" s="23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18"/>
      <c r="V740" s="18"/>
      <c r="W740" s="18"/>
      <c r="AB740" s="18"/>
    </row>
    <row r="741" spans="1:28" ht="15.75">
      <c r="A741" s="18"/>
      <c r="B741" s="23"/>
      <c r="C741" s="22"/>
      <c r="D741" s="23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18"/>
      <c r="V741" s="18"/>
      <c r="W741" s="18"/>
      <c r="AB741" s="18"/>
    </row>
    <row r="742" spans="1:28" ht="15.75">
      <c r="A742" s="18"/>
      <c r="B742" s="23"/>
      <c r="C742" s="22"/>
      <c r="D742" s="23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18"/>
      <c r="V742" s="18"/>
      <c r="W742" s="18"/>
      <c r="AB742" s="18"/>
    </row>
    <row r="743" spans="1:28" ht="15.75">
      <c r="A743" s="18"/>
      <c r="B743" s="23"/>
      <c r="C743" s="22"/>
      <c r="D743" s="23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18"/>
      <c r="V743" s="18"/>
      <c r="W743" s="18"/>
      <c r="AB743" s="18"/>
    </row>
    <row r="744" spans="1:28" ht="15.75">
      <c r="A744" s="18"/>
      <c r="B744" s="23"/>
      <c r="C744" s="22"/>
      <c r="D744" s="23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18"/>
      <c r="V744" s="18"/>
      <c r="W744" s="18"/>
      <c r="AB744" s="18"/>
    </row>
    <row r="745" spans="1:28" ht="15.75">
      <c r="A745" s="18"/>
      <c r="B745" s="23"/>
      <c r="C745" s="22"/>
      <c r="D745" s="23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18"/>
      <c r="V745" s="18"/>
      <c r="W745" s="18"/>
      <c r="AB745" s="18"/>
    </row>
    <row r="746" spans="1:28" ht="15.75">
      <c r="A746" s="18"/>
      <c r="B746" s="23"/>
      <c r="C746" s="22"/>
      <c r="D746" s="23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18"/>
      <c r="V746" s="18"/>
      <c r="W746" s="18"/>
      <c r="AB746" s="18"/>
    </row>
    <row r="747" spans="1:28" ht="15.75">
      <c r="A747" s="18"/>
      <c r="B747" s="23"/>
      <c r="C747" s="22"/>
      <c r="D747" s="23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18"/>
      <c r="V747" s="18"/>
      <c r="W747" s="18"/>
      <c r="AB747" s="18"/>
    </row>
    <row r="748" spans="1:28" ht="15.75">
      <c r="A748" s="18"/>
      <c r="B748" s="23"/>
      <c r="C748" s="22"/>
      <c r="D748" s="23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18"/>
      <c r="V748" s="18"/>
      <c r="W748" s="18"/>
      <c r="AB748" s="18"/>
    </row>
    <row r="749" spans="1:28" ht="15.75">
      <c r="A749" s="18"/>
      <c r="B749" s="23"/>
      <c r="C749" s="22"/>
      <c r="D749" s="23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18"/>
      <c r="V749" s="18"/>
      <c r="W749" s="18"/>
      <c r="AB749" s="18"/>
    </row>
    <row r="750" spans="1:28" ht="15.75">
      <c r="A750" s="18"/>
      <c r="B750" s="23"/>
      <c r="C750" s="22"/>
      <c r="D750" s="23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18"/>
      <c r="V750" s="18"/>
      <c r="W750" s="18"/>
      <c r="AB750" s="18"/>
    </row>
    <row r="751" spans="1:28" ht="15.75">
      <c r="A751" s="18"/>
      <c r="B751" s="23"/>
      <c r="C751" s="22"/>
      <c r="D751" s="23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18"/>
      <c r="V751" s="18"/>
      <c r="W751" s="18"/>
      <c r="AB751" s="18"/>
    </row>
    <row r="752" spans="1:28" ht="15.75">
      <c r="A752" s="18"/>
      <c r="B752" s="23"/>
      <c r="C752" s="22"/>
      <c r="D752" s="23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18"/>
      <c r="V752" s="18"/>
      <c r="W752" s="18"/>
      <c r="AB752" s="18"/>
    </row>
    <row r="753" spans="1:28" ht="15.75">
      <c r="A753" s="18"/>
      <c r="B753" s="23"/>
      <c r="C753" s="22"/>
      <c r="D753" s="23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18"/>
      <c r="V753" s="18"/>
      <c r="W753" s="18"/>
      <c r="AB753" s="18"/>
    </row>
    <row r="754" spans="1:28" ht="15.75">
      <c r="A754" s="18"/>
      <c r="B754" s="23"/>
      <c r="C754" s="22"/>
      <c r="D754" s="23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18"/>
      <c r="V754" s="18"/>
      <c r="W754" s="18"/>
      <c r="AB754" s="18"/>
    </row>
    <row r="755" spans="1:28" ht="15.75">
      <c r="A755" s="18"/>
      <c r="B755" s="23"/>
      <c r="C755" s="22"/>
      <c r="D755" s="23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18"/>
      <c r="V755" s="18"/>
      <c r="W755" s="18"/>
      <c r="AB755" s="18"/>
    </row>
    <row r="756" spans="1:28" ht="15.75">
      <c r="A756" s="18"/>
      <c r="B756" s="23"/>
      <c r="C756" s="22"/>
      <c r="D756" s="23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18"/>
      <c r="V756" s="18"/>
      <c r="W756" s="18"/>
      <c r="AB756" s="18"/>
    </row>
    <row r="757" spans="1:28" ht="15.75">
      <c r="A757" s="18"/>
      <c r="B757" s="23"/>
      <c r="C757" s="22"/>
      <c r="D757" s="23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18"/>
      <c r="V757" s="18"/>
      <c r="W757" s="18"/>
      <c r="AB757" s="18"/>
    </row>
    <row r="758" spans="1:28" ht="15.75">
      <c r="A758" s="18"/>
      <c r="B758" s="23"/>
      <c r="C758" s="22"/>
      <c r="D758" s="23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18"/>
      <c r="V758" s="18"/>
      <c r="W758" s="18"/>
      <c r="AB758" s="18"/>
    </row>
    <row r="759" spans="1:28" ht="15.75">
      <c r="A759" s="18"/>
      <c r="B759" s="23"/>
      <c r="C759" s="22"/>
      <c r="D759" s="23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18"/>
      <c r="V759" s="18"/>
      <c r="W759" s="18"/>
      <c r="AB759" s="18"/>
    </row>
    <row r="760" spans="1:28" ht="15.75">
      <c r="A760" s="18"/>
      <c r="B760" s="23"/>
      <c r="C760" s="22"/>
      <c r="D760" s="23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18"/>
      <c r="V760" s="18"/>
      <c r="W760" s="18"/>
      <c r="AB760" s="18"/>
    </row>
    <row r="761" spans="1:28" ht="15.75">
      <c r="A761" s="18"/>
      <c r="B761" s="23"/>
      <c r="C761" s="22"/>
      <c r="D761" s="23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18"/>
      <c r="V761" s="18"/>
      <c r="W761" s="18"/>
      <c r="AB761" s="18"/>
    </row>
    <row r="762" spans="1:28" ht="15.75">
      <c r="A762" s="18"/>
      <c r="B762" s="23"/>
      <c r="C762" s="22"/>
      <c r="D762" s="23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18"/>
      <c r="V762" s="18"/>
      <c r="W762" s="18"/>
      <c r="AB762" s="18"/>
    </row>
    <row r="763" spans="1:28" ht="15.75">
      <c r="A763" s="18"/>
      <c r="B763" s="23"/>
      <c r="C763" s="22"/>
      <c r="D763" s="23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18"/>
      <c r="V763" s="18"/>
      <c r="W763" s="18"/>
      <c r="AB763" s="18"/>
    </row>
    <row r="764" spans="1:28" ht="15.75">
      <c r="A764" s="18"/>
      <c r="B764" s="23"/>
      <c r="C764" s="22"/>
      <c r="D764" s="23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18"/>
      <c r="V764" s="18"/>
      <c r="W764" s="18"/>
      <c r="AB764" s="18"/>
    </row>
    <row r="765" spans="1:28" ht="15.75">
      <c r="A765" s="18"/>
      <c r="B765" s="23"/>
      <c r="C765" s="22"/>
      <c r="D765" s="23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18"/>
      <c r="V765" s="18"/>
      <c r="W765" s="18"/>
      <c r="AB765" s="18"/>
    </row>
    <row r="766" spans="1:28" ht="15.75">
      <c r="A766" s="18"/>
      <c r="B766" s="23"/>
      <c r="C766" s="22"/>
      <c r="D766" s="23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18"/>
      <c r="V766" s="18"/>
      <c r="W766" s="18"/>
      <c r="AB766" s="18"/>
    </row>
    <row r="767" spans="1:28" ht="15.75">
      <c r="A767" s="18"/>
      <c r="B767" s="23"/>
      <c r="C767" s="22"/>
      <c r="D767" s="23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18"/>
      <c r="V767" s="18"/>
      <c r="W767" s="18"/>
      <c r="AB767" s="18"/>
    </row>
    <row r="768" spans="1:28" ht="15.75">
      <c r="A768" s="18"/>
      <c r="B768" s="23"/>
      <c r="C768" s="22"/>
      <c r="D768" s="23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18"/>
      <c r="V768" s="18"/>
      <c r="W768" s="18"/>
      <c r="AB768" s="18"/>
    </row>
    <row r="769" spans="1:28" ht="15.75">
      <c r="A769" s="18"/>
      <c r="B769" s="23"/>
      <c r="C769" s="22"/>
      <c r="D769" s="23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18"/>
      <c r="V769" s="18"/>
      <c r="W769" s="18"/>
      <c r="AB769" s="18"/>
    </row>
    <row r="770" spans="1:28" ht="15.75">
      <c r="A770" s="18"/>
      <c r="B770" s="23"/>
      <c r="C770" s="22"/>
      <c r="D770" s="23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18"/>
      <c r="V770" s="18"/>
      <c r="W770" s="18"/>
      <c r="AB770" s="18"/>
    </row>
    <row r="771" spans="1:28" ht="15.75">
      <c r="A771" s="18"/>
      <c r="B771" s="23"/>
      <c r="C771" s="22"/>
      <c r="D771" s="23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18"/>
      <c r="V771" s="18"/>
      <c r="W771" s="18"/>
      <c r="AB771" s="18"/>
    </row>
    <row r="772" spans="1:28" ht="15.75">
      <c r="A772" s="18"/>
      <c r="B772" s="23"/>
      <c r="C772" s="22"/>
      <c r="D772" s="23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18"/>
      <c r="V772" s="18"/>
      <c r="W772" s="18"/>
      <c r="AB772" s="18"/>
    </row>
    <row r="773" spans="1:28" ht="15.75">
      <c r="A773" s="18"/>
      <c r="B773" s="23"/>
      <c r="C773" s="22"/>
      <c r="D773" s="23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18"/>
      <c r="V773" s="18"/>
      <c r="W773" s="18"/>
      <c r="AB773" s="18"/>
    </row>
    <row r="774" spans="1:28" ht="15.75">
      <c r="A774" s="18"/>
      <c r="B774" s="23"/>
      <c r="C774" s="22"/>
      <c r="D774" s="23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18"/>
      <c r="V774" s="18"/>
      <c r="W774" s="18"/>
      <c r="AB774" s="18"/>
    </row>
    <row r="775" spans="1:28" ht="15.75">
      <c r="A775" s="18"/>
      <c r="B775" s="23"/>
      <c r="C775" s="22"/>
      <c r="D775" s="23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18"/>
      <c r="V775" s="18"/>
      <c r="W775" s="18"/>
      <c r="AB775" s="18"/>
    </row>
    <row r="776" spans="1:28" ht="15.75">
      <c r="A776" s="18"/>
      <c r="B776" s="23"/>
      <c r="C776" s="22"/>
      <c r="D776" s="23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18"/>
      <c r="V776" s="18"/>
      <c r="W776" s="18"/>
      <c r="AB776" s="18"/>
    </row>
    <row r="777" spans="1:28" ht="15.75">
      <c r="A777" s="18"/>
      <c r="B777" s="23"/>
      <c r="C777" s="22"/>
      <c r="D777" s="23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18"/>
      <c r="V777" s="18"/>
      <c r="W777" s="18"/>
      <c r="AB777" s="18"/>
    </row>
    <row r="778" spans="1:28" ht="15.75">
      <c r="A778" s="18"/>
      <c r="B778" s="23"/>
      <c r="C778" s="22"/>
      <c r="D778" s="23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18"/>
      <c r="V778" s="18"/>
      <c r="W778" s="18"/>
      <c r="AB778" s="18"/>
    </row>
    <row r="779" spans="1:28" ht="15.75">
      <c r="A779" s="18"/>
      <c r="B779" s="23"/>
      <c r="C779" s="22"/>
      <c r="D779" s="23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18"/>
      <c r="V779" s="18"/>
      <c r="W779" s="18"/>
      <c r="AB779" s="18"/>
    </row>
    <row r="780" spans="1:28" ht="15.75">
      <c r="A780" s="18"/>
      <c r="B780" s="23"/>
      <c r="C780" s="22"/>
      <c r="D780" s="23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18"/>
      <c r="V780" s="18"/>
      <c r="W780" s="18"/>
      <c r="AB780" s="18"/>
    </row>
    <row r="781" spans="1:28" ht="15.75">
      <c r="A781" s="18"/>
      <c r="B781" s="23"/>
      <c r="C781" s="22"/>
      <c r="D781" s="23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18"/>
      <c r="V781" s="18"/>
      <c r="W781" s="18"/>
      <c r="AB781" s="18"/>
    </row>
    <row r="782" spans="1:28" ht="15.75">
      <c r="A782" s="18"/>
      <c r="B782" s="23"/>
      <c r="C782" s="22"/>
      <c r="D782" s="23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18"/>
      <c r="V782" s="18"/>
      <c r="W782" s="18"/>
      <c r="AB782" s="18"/>
    </row>
    <row r="783" spans="1:28" ht="15.75">
      <c r="A783" s="18"/>
      <c r="B783" s="23"/>
      <c r="C783" s="22"/>
      <c r="D783" s="23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18"/>
      <c r="V783" s="18"/>
      <c r="W783" s="18"/>
      <c r="AB783" s="18"/>
    </row>
    <row r="784" spans="1:28" ht="15.75">
      <c r="A784" s="18"/>
      <c r="B784" s="23"/>
      <c r="C784" s="22"/>
      <c r="D784" s="23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18"/>
      <c r="V784" s="18"/>
      <c r="W784" s="18"/>
      <c r="AB784" s="18"/>
    </row>
    <row r="785" spans="1:28" ht="15.75">
      <c r="A785" s="18"/>
      <c r="B785" s="23"/>
      <c r="C785" s="22"/>
      <c r="D785" s="23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18"/>
      <c r="V785" s="18"/>
      <c r="W785" s="18"/>
      <c r="AB785" s="18"/>
    </row>
    <row r="786" spans="1:28" ht="15.75">
      <c r="A786" s="18"/>
      <c r="B786" s="23"/>
      <c r="C786" s="22"/>
      <c r="D786" s="23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18"/>
      <c r="V786" s="18"/>
      <c r="W786" s="18"/>
      <c r="AB786" s="18"/>
    </row>
    <row r="787" spans="1:28" ht="15.75">
      <c r="A787" s="18"/>
      <c r="B787" s="23"/>
      <c r="C787" s="22"/>
      <c r="D787" s="23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18"/>
      <c r="V787" s="18"/>
      <c r="W787" s="18"/>
      <c r="AB787" s="18"/>
    </row>
    <row r="788" spans="1:28" ht="15.75">
      <c r="A788" s="18"/>
      <c r="B788" s="23"/>
      <c r="C788" s="22"/>
      <c r="D788" s="23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18"/>
      <c r="V788" s="18"/>
      <c r="W788" s="18"/>
      <c r="AB788" s="18"/>
    </row>
    <row r="789" spans="1:28" ht="15.75">
      <c r="A789" s="18"/>
      <c r="B789" s="23"/>
      <c r="C789" s="22"/>
      <c r="D789" s="23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18"/>
      <c r="V789" s="18"/>
      <c r="W789" s="18"/>
      <c r="AB789" s="18"/>
    </row>
    <row r="790" spans="1:28" ht="15.75">
      <c r="A790" s="18"/>
      <c r="B790" s="23"/>
      <c r="C790" s="22"/>
      <c r="D790" s="23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18"/>
      <c r="V790" s="18"/>
      <c r="W790" s="18"/>
      <c r="AB790" s="18"/>
    </row>
    <row r="791" spans="1:28" ht="15.75">
      <c r="A791" s="18"/>
      <c r="B791" s="23"/>
      <c r="C791" s="22"/>
      <c r="D791" s="23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18"/>
      <c r="V791" s="18"/>
      <c r="W791" s="18"/>
      <c r="AB791" s="18"/>
    </row>
    <row r="792" spans="1:28" ht="15.75">
      <c r="A792" s="18"/>
      <c r="B792" s="23"/>
      <c r="C792" s="22"/>
      <c r="D792" s="23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18"/>
      <c r="V792" s="18"/>
      <c r="W792" s="18"/>
      <c r="AB792" s="18"/>
    </row>
    <row r="793" spans="1:28" ht="15.75">
      <c r="A793" s="18"/>
      <c r="B793" s="23"/>
      <c r="C793" s="22"/>
      <c r="D793" s="23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18"/>
      <c r="V793" s="18"/>
      <c r="W793" s="18"/>
      <c r="AB793" s="18"/>
    </row>
    <row r="794" spans="1:28" ht="15.75">
      <c r="A794" s="18"/>
      <c r="B794" s="23"/>
      <c r="C794" s="22"/>
      <c r="D794" s="23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18"/>
      <c r="V794" s="18"/>
      <c r="W794" s="18"/>
      <c r="AB794" s="18"/>
    </row>
    <row r="795" spans="1:28" ht="15.75">
      <c r="A795" s="18"/>
      <c r="B795" s="23"/>
      <c r="C795" s="22"/>
      <c r="D795" s="23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18"/>
      <c r="V795" s="18"/>
      <c r="W795" s="18"/>
      <c r="AB795" s="18"/>
    </row>
    <row r="796" spans="1:28" ht="15.75">
      <c r="A796" s="18"/>
      <c r="B796" s="23"/>
      <c r="C796" s="22"/>
      <c r="D796" s="23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18"/>
      <c r="V796" s="18"/>
      <c r="W796" s="18"/>
      <c r="AB796" s="18"/>
    </row>
    <row r="797" spans="1:28" ht="15.75">
      <c r="A797" s="18"/>
      <c r="B797" s="23"/>
      <c r="C797" s="22"/>
      <c r="D797" s="23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18"/>
      <c r="V797" s="18"/>
      <c r="W797" s="18"/>
      <c r="AB797" s="18"/>
    </row>
    <row r="798" spans="1:28" ht="15.75">
      <c r="A798" s="18"/>
      <c r="B798" s="23"/>
      <c r="C798" s="22"/>
      <c r="D798" s="23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18"/>
      <c r="V798" s="18"/>
      <c r="W798" s="18"/>
      <c r="AB798" s="18"/>
    </row>
    <row r="799" spans="1:28" ht="15.75">
      <c r="A799" s="18"/>
      <c r="B799" s="23"/>
      <c r="C799" s="22"/>
      <c r="D799" s="23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18"/>
      <c r="V799" s="18"/>
      <c r="W799" s="18"/>
      <c r="AB799" s="18"/>
    </row>
    <row r="800" spans="1:28" ht="15.75">
      <c r="A800" s="18"/>
      <c r="B800" s="23"/>
      <c r="C800" s="22"/>
      <c r="D800" s="23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18"/>
      <c r="V800" s="18"/>
      <c r="W800" s="18"/>
      <c r="AB800" s="18"/>
    </row>
    <row r="801" spans="1:28" ht="15.75">
      <c r="A801" s="18"/>
      <c r="B801" s="23"/>
      <c r="C801" s="22"/>
      <c r="D801" s="23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18"/>
      <c r="V801" s="18"/>
      <c r="W801" s="18"/>
      <c r="AB801" s="18"/>
    </row>
    <row r="802" spans="1:28" ht="15.75">
      <c r="A802" s="18"/>
      <c r="B802" s="23"/>
      <c r="C802" s="22"/>
      <c r="D802" s="23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18"/>
      <c r="V802" s="18"/>
      <c r="W802" s="18"/>
      <c r="AB802" s="18"/>
    </row>
    <row r="803" spans="1:28" ht="15.75">
      <c r="A803" s="18"/>
      <c r="B803" s="23"/>
      <c r="C803" s="22"/>
      <c r="D803" s="23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18"/>
      <c r="V803" s="18"/>
      <c r="W803" s="18"/>
      <c r="AB803" s="18"/>
    </row>
    <row r="804" spans="1:28" ht="15.75">
      <c r="A804" s="18"/>
      <c r="B804" s="23"/>
      <c r="C804" s="22"/>
      <c r="D804" s="23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18"/>
      <c r="V804" s="18"/>
      <c r="W804" s="18"/>
      <c r="AB804" s="18"/>
    </row>
    <row r="805" spans="1:28" ht="15.75">
      <c r="A805" s="18"/>
      <c r="B805" s="23"/>
      <c r="C805" s="22"/>
      <c r="D805" s="23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18"/>
      <c r="V805" s="18"/>
      <c r="W805" s="18"/>
      <c r="AB805" s="18"/>
    </row>
    <row r="806" spans="1:28" ht="15.75">
      <c r="A806" s="18"/>
      <c r="B806" s="23"/>
      <c r="C806" s="22"/>
      <c r="D806" s="23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18"/>
      <c r="V806" s="18"/>
      <c r="W806" s="18"/>
      <c r="AB806" s="18"/>
    </row>
    <row r="807" spans="1:28" ht="15.75">
      <c r="A807" s="18"/>
      <c r="B807" s="23"/>
      <c r="C807" s="22"/>
      <c r="D807" s="23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18"/>
      <c r="V807" s="18"/>
      <c r="W807" s="18"/>
      <c r="AB807" s="18"/>
    </row>
    <row r="808" spans="1:28" ht="15.75">
      <c r="A808" s="18"/>
      <c r="B808" s="23"/>
      <c r="C808" s="22"/>
      <c r="D808" s="23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18"/>
      <c r="V808" s="18"/>
      <c r="W808" s="18"/>
      <c r="AB808" s="18"/>
    </row>
    <row r="809" spans="1:28" ht="15.75">
      <c r="A809" s="18"/>
      <c r="B809" s="23"/>
      <c r="C809" s="22"/>
      <c r="D809" s="23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18"/>
      <c r="V809" s="18"/>
      <c r="W809" s="18"/>
      <c r="AB809" s="18"/>
    </row>
    <row r="810" spans="1:28" ht="15.75">
      <c r="A810" s="18"/>
      <c r="B810" s="23"/>
      <c r="C810" s="22"/>
      <c r="D810" s="23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18"/>
      <c r="V810" s="18"/>
      <c r="W810" s="18"/>
      <c r="AB810" s="18"/>
    </row>
    <row r="811" spans="1:28" ht="15.75">
      <c r="A811" s="18"/>
      <c r="B811" s="23"/>
      <c r="C811" s="22"/>
      <c r="D811" s="23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18"/>
      <c r="V811" s="18"/>
      <c r="W811" s="18"/>
      <c r="AB811" s="18"/>
    </row>
    <row r="812" spans="1:28" ht="15.75">
      <c r="A812" s="18"/>
      <c r="B812" s="23"/>
      <c r="C812" s="22"/>
      <c r="D812" s="23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18"/>
      <c r="V812" s="18"/>
      <c r="W812" s="18"/>
      <c r="AB812" s="18"/>
    </row>
    <row r="813" spans="1:28" ht="15.75">
      <c r="A813" s="18"/>
      <c r="B813" s="23"/>
      <c r="C813" s="22"/>
      <c r="D813" s="23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18"/>
      <c r="V813" s="18"/>
      <c r="W813" s="18"/>
      <c r="AB813" s="18"/>
    </row>
    <row r="814" spans="1:28" ht="15.75">
      <c r="A814" s="18"/>
      <c r="B814" s="23"/>
      <c r="C814" s="22"/>
      <c r="D814" s="23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18"/>
      <c r="V814" s="18"/>
      <c r="W814" s="18"/>
      <c r="AB814" s="18"/>
    </row>
    <row r="815" spans="1:28" ht="15.75">
      <c r="A815" s="18"/>
      <c r="B815" s="23"/>
      <c r="C815" s="22"/>
      <c r="D815" s="23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18"/>
      <c r="V815" s="18"/>
      <c r="W815" s="18"/>
      <c r="AB815" s="18"/>
    </row>
    <row r="816" spans="1:28" ht="15.75">
      <c r="A816" s="18"/>
      <c r="B816" s="23"/>
      <c r="C816" s="22"/>
      <c r="D816" s="23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18"/>
      <c r="V816" s="18"/>
      <c r="W816" s="18"/>
      <c r="AB816" s="18"/>
    </row>
    <row r="817" spans="1:28" ht="15.75">
      <c r="A817" s="18"/>
      <c r="B817" s="23"/>
      <c r="C817" s="22"/>
      <c r="D817" s="23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18"/>
      <c r="V817" s="18"/>
      <c r="W817" s="18"/>
      <c r="AB817" s="18"/>
    </row>
    <row r="818" spans="1:28" ht="15.75">
      <c r="A818" s="18"/>
      <c r="B818" s="23"/>
      <c r="C818" s="22"/>
      <c r="D818" s="23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18"/>
      <c r="V818" s="18"/>
      <c r="W818" s="18"/>
      <c r="AB818" s="18"/>
    </row>
    <row r="819" spans="1:28" ht="15.75">
      <c r="A819" s="18"/>
      <c r="B819" s="23"/>
      <c r="C819" s="22"/>
      <c r="D819" s="23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18"/>
      <c r="V819" s="18"/>
      <c r="W819" s="18"/>
      <c r="AB819" s="18"/>
    </row>
    <row r="820" spans="1:28" ht="15.75">
      <c r="A820" s="18"/>
      <c r="B820" s="23"/>
      <c r="C820" s="22"/>
      <c r="D820" s="23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18"/>
      <c r="V820" s="18"/>
      <c r="W820" s="18"/>
      <c r="AB820" s="18"/>
    </row>
    <row r="821" spans="1:28" ht="15.75">
      <c r="A821" s="18"/>
      <c r="B821" s="23"/>
      <c r="C821" s="22"/>
      <c r="D821" s="23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18"/>
      <c r="V821" s="18"/>
      <c r="W821" s="18"/>
      <c r="AB821" s="18"/>
    </row>
    <row r="822" spans="1:28" ht="15.75">
      <c r="A822" s="18"/>
      <c r="B822" s="23"/>
      <c r="C822" s="22"/>
      <c r="D822" s="23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18"/>
      <c r="V822" s="18"/>
      <c r="W822" s="18"/>
      <c r="AB822" s="18"/>
    </row>
    <row r="823" spans="1:28" ht="15.75">
      <c r="A823" s="18"/>
      <c r="B823" s="23"/>
      <c r="C823" s="22"/>
      <c r="D823" s="23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18"/>
      <c r="V823" s="18"/>
      <c r="W823" s="18"/>
      <c r="AB823" s="18"/>
    </row>
    <row r="824" spans="1:28" ht="15.75">
      <c r="A824" s="18"/>
      <c r="B824" s="23"/>
      <c r="C824" s="22"/>
      <c r="D824" s="23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18"/>
      <c r="V824" s="18"/>
      <c r="W824" s="18"/>
      <c r="AB824" s="18"/>
    </row>
    <row r="825" spans="1:28" ht="15.75">
      <c r="A825" s="18"/>
      <c r="B825" s="23"/>
      <c r="C825" s="22"/>
      <c r="D825" s="23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18"/>
      <c r="V825" s="18"/>
      <c r="W825" s="18"/>
      <c r="AB825" s="18"/>
    </row>
    <row r="826" spans="1:28" ht="15.75">
      <c r="A826" s="18"/>
      <c r="B826" s="23"/>
      <c r="C826" s="22"/>
      <c r="D826" s="23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18"/>
      <c r="V826" s="18"/>
      <c r="W826" s="18"/>
      <c r="AB826" s="18"/>
    </row>
    <row r="827" spans="1:28" ht="15.75">
      <c r="A827" s="18"/>
      <c r="B827" s="23"/>
      <c r="C827" s="22"/>
      <c r="D827" s="23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18"/>
      <c r="V827" s="18"/>
      <c r="W827" s="18"/>
      <c r="AB827" s="18"/>
    </row>
    <row r="828" spans="1:28" ht="15.75">
      <c r="A828" s="18"/>
      <c r="B828" s="23"/>
      <c r="C828" s="22"/>
      <c r="D828" s="23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18"/>
      <c r="V828" s="18"/>
      <c r="W828" s="18"/>
      <c r="AB828" s="18"/>
    </row>
    <row r="829" spans="1:28" ht="15.75">
      <c r="A829" s="18"/>
      <c r="B829" s="23"/>
      <c r="C829" s="22"/>
      <c r="D829" s="23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18"/>
      <c r="V829" s="18"/>
      <c r="W829" s="18"/>
      <c r="AB829" s="18"/>
    </row>
    <row r="830" spans="1:28" ht="15.75">
      <c r="A830" s="18"/>
      <c r="B830" s="23"/>
      <c r="C830" s="22"/>
      <c r="D830" s="23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18"/>
      <c r="V830" s="18"/>
      <c r="W830" s="18"/>
      <c r="AB830" s="18"/>
    </row>
    <row r="831" spans="1:28" ht="15.75">
      <c r="A831" s="18"/>
      <c r="B831" s="23"/>
      <c r="C831" s="22"/>
      <c r="D831" s="23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18"/>
      <c r="V831" s="18"/>
      <c r="W831" s="18"/>
      <c r="AB831" s="18"/>
    </row>
    <row r="832" spans="1:28" ht="15.75">
      <c r="A832" s="18"/>
      <c r="B832" s="23"/>
      <c r="C832" s="22"/>
      <c r="D832" s="23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18"/>
      <c r="V832" s="18"/>
      <c r="W832" s="18"/>
      <c r="AB832" s="18"/>
    </row>
    <row r="833" spans="1:28" ht="15.75">
      <c r="A833" s="18"/>
      <c r="B833" s="23"/>
      <c r="C833" s="22"/>
      <c r="D833" s="23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18"/>
      <c r="V833" s="18"/>
      <c r="W833" s="18"/>
      <c r="AB833" s="18"/>
    </row>
    <row r="834" spans="1:28" ht="15.75">
      <c r="A834" s="18"/>
      <c r="B834" s="23"/>
      <c r="C834" s="22"/>
      <c r="D834" s="23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18"/>
      <c r="V834" s="18"/>
      <c r="W834" s="18"/>
      <c r="AB834" s="18"/>
    </row>
    <row r="835" spans="1:28" ht="15.75">
      <c r="A835" s="18"/>
      <c r="B835" s="23"/>
      <c r="C835" s="22"/>
      <c r="D835" s="23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18"/>
      <c r="V835" s="18"/>
      <c r="W835" s="18"/>
      <c r="AB835" s="18"/>
    </row>
    <row r="836" spans="1:28" ht="15.75">
      <c r="A836" s="18"/>
      <c r="B836" s="23"/>
      <c r="C836" s="22"/>
      <c r="D836" s="23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18"/>
      <c r="V836" s="18"/>
      <c r="W836" s="18"/>
      <c r="AB836" s="18"/>
    </row>
    <row r="837" spans="1:28" ht="15.75">
      <c r="A837" s="18"/>
      <c r="B837" s="23"/>
      <c r="C837" s="22"/>
      <c r="D837" s="23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18"/>
      <c r="V837" s="18"/>
      <c r="W837" s="18"/>
      <c r="AB837" s="18"/>
    </row>
    <row r="838" spans="1:28" ht="15.75">
      <c r="A838" s="18"/>
      <c r="B838" s="23"/>
      <c r="C838" s="22"/>
      <c r="D838" s="23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18"/>
      <c r="V838" s="18"/>
      <c r="W838" s="18"/>
      <c r="AB838" s="18"/>
    </row>
    <row r="839" spans="1:28" ht="15.75">
      <c r="A839" s="18"/>
      <c r="B839" s="23"/>
      <c r="C839" s="22"/>
      <c r="D839" s="23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18"/>
      <c r="V839" s="18"/>
      <c r="W839" s="18"/>
      <c r="AB839" s="18"/>
    </row>
    <row r="840" spans="1:28" ht="15.75">
      <c r="A840" s="18"/>
      <c r="B840" s="23"/>
      <c r="C840" s="22"/>
      <c r="D840" s="23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18"/>
      <c r="V840" s="18"/>
      <c r="W840" s="18"/>
      <c r="AB840" s="18"/>
    </row>
    <row r="841" spans="1:28" ht="15.75">
      <c r="A841" s="18"/>
      <c r="B841" s="23"/>
      <c r="C841" s="22"/>
      <c r="D841" s="23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18"/>
      <c r="V841" s="18"/>
      <c r="W841" s="18"/>
      <c r="AB841" s="18"/>
    </row>
    <row r="842" spans="1:28" ht="15.75">
      <c r="A842" s="18"/>
      <c r="B842" s="23"/>
      <c r="C842" s="22"/>
      <c r="D842" s="23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18"/>
      <c r="V842" s="18"/>
      <c r="W842" s="18"/>
      <c r="AB842" s="18"/>
    </row>
    <row r="843" spans="1:28" ht="15.75">
      <c r="A843" s="18"/>
      <c r="B843" s="23"/>
      <c r="C843" s="22"/>
      <c r="D843" s="23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18"/>
      <c r="V843" s="18"/>
      <c r="W843" s="18"/>
      <c r="AB843" s="18"/>
    </row>
  </sheetData>
  <mergeCells count="1">
    <mergeCell ref="P1:R1"/>
  </mergeCells>
  <printOptions/>
  <pageMargins left="0.29" right="0.22" top="0.21" bottom="1" header="0.24" footer="0.5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I55"/>
  <sheetViews>
    <sheetView view="pageBreakPreview" zoomScaleSheetLayoutView="100" workbookViewId="0" topLeftCell="A7">
      <selection activeCell="F14" sqref="F14:F15"/>
    </sheetView>
  </sheetViews>
  <sheetFormatPr defaultColWidth="9.140625" defaultRowHeight="12.75"/>
  <cols>
    <col min="1" max="1" width="9.7109375" style="99" customWidth="1"/>
    <col min="2" max="2" width="39.00390625" style="99" customWidth="1"/>
    <col min="3" max="3" width="12.00390625" style="99" customWidth="1"/>
    <col min="4" max="4" width="13.140625" style="227" customWidth="1"/>
    <col min="5" max="5" width="11.28125" style="99" customWidth="1"/>
    <col min="6" max="6" width="40.8515625" style="99" customWidth="1"/>
    <col min="7" max="13" width="10.00390625" style="99" customWidth="1"/>
    <col min="14" max="14" width="2.28125" style="99" customWidth="1"/>
    <col min="15" max="15" width="2.57421875" style="99" customWidth="1"/>
    <col min="16" max="16" width="2.28125" style="99" customWidth="1"/>
    <col min="17" max="17" width="2.140625" style="99" customWidth="1"/>
    <col min="18" max="16384" width="9.140625" style="99" customWidth="1"/>
  </cols>
  <sheetData>
    <row r="1" spans="2:6" ht="16.5">
      <c r="B1" s="557" t="s">
        <v>274</v>
      </c>
      <c r="C1" s="557"/>
      <c r="D1" s="557"/>
      <c r="E1" s="557"/>
      <c r="F1" s="557"/>
    </row>
    <row r="2" spans="2:6" ht="16.5">
      <c r="B2" s="557" t="s">
        <v>363</v>
      </c>
      <c r="C2" s="558"/>
      <c r="D2" s="558"/>
      <c r="E2" s="558"/>
      <c r="F2" s="558"/>
    </row>
    <row r="3" spans="2:6" ht="16.5">
      <c r="B3" s="226"/>
      <c r="F3" s="228" t="s">
        <v>147</v>
      </c>
    </row>
    <row r="4" ht="17.25" thickBot="1"/>
    <row r="5" spans="1:6" ht="16.5">
      <c r="A5" s="358" t="s">
        <v>275</v>
      </c>
      <c r="B5" s="357"/>
      <c r="C5" s="358" t="s">
        <v>364</v>
      </c>
      <c r="D5" s="358" t="s">
        <v>365</v>
      </c>
      <c r="E5" s="359" t="s">
        <v>5</v>
      </c>
      <c r="F5" s="386" t="s">
        <v>148</v>
      </c>
    </row>
    <row r="6" spans="1:6" ht="16.5">
      <c r="A6" s="229" t="s">
        <v>145</v>
      </c>
      <c r="B6" s="230"/>
      <c r="C6" s="229" t="s">
        <v>145</v>
      </c>
      <c r="D6" s="229" t="s">
        <v>145</v>
      </c>
      <c r="E6" s="360" t="s">
        <v>145</v>
      </c>
      <c r="F6" s="387"/>
    </row>
    <row r="7" spans="1:6" ht="16.5">
      <c r="A7" s="231"/>
      <c r="B7" s="373" t="s">
        <v>233</v>
      </c>
      <c r="C7" s="231"/>
      <c r="D7" s="231"/>
      <c r="E7" s="361"/>
      <c r="F7" s="388"/>
    </row>
    <row r="8" spans="1:6" ht="16.5">
      <c r="A8" s="98">
        <f>156367+493</f>
        <v>156860</v>
      </c>
      <c r="B8" s="104" t="s">
        <v>232</v>
      </c>
      <c r="C8" s="98">
        <f>155117+409</f>
        <v>155526</v>
      </c>
      <c r="D8" s="98">
        <v>157193</v>
      </c>
      <c r="E8" s="362">
        <f>D8-C8</f>
        <v>1667</v>
      </c>
      <c r="F8" s="385"/>
    </row>
    <row r="9" spans="1:6" ht="16.5">
      <c r="A9" s="241">
        <f>608+1784</f>
        <v>2392</v>
      </c>
      <c r="B9" s="237" t="s">
        <v>242</v>
      </c>
      <c r="C9" s="241">
        <f>503+1563</f>
        <v>2066</v>
      </c>
      <c r="D9" s="241">
        <f>632+1757</f>
        <v>2389</v>
      </c>
      <c r="E9" s="363">
        <f>D9-C9</f>
        <v>323</v>
      </c>
      <c r="F9" s="385"/>
    </row>
    <row r="10" spans="1:6" ht="17.25" thickBot="1">
      <c r="A10" s="355">
        <f>SUM(A8:A9)</f>
        <v>159252</v>
      </c>
      <c r="B10" s="233" t="s">
        <v>234</v>
      </c>
      <c r="C10" s="355">
        <f>SUM(C8:C9)</f>
        <v>157592</v>
      </c>
      <c r="D10" s="355">
        <f>SUM(D8:D9)</f>
        <v>159582</v>
      </c>
      <c r="E10" s="364">
        <f>SUM(E8:E9)</f>
        <v>1990</v>
      </c>
      <c r="F10" s="385"/>
    </row>
    <row r="11" spans="1:6" ht="17.25" thickTop="1">
      <c r="A11" s="98"/>
      <c r="B11" s="104"/>
      <c r="C11" s="98"/>
      <c r="D11" s="98"/>
      <c r="E11" s="362"/>
      <c r="F11" s="385"/>
    </row>
    <row r="12" spans="1:6" ht="16.5">
      <c r="A12" s="98"/>
      <c r="B12" s="373" t="s">
        <v>204</v>
      </c>
      <c r="C12" s="98"/>
      <c r="D12" s="98"/>
      <c r="E12" s="362"/>
      <c r="F12" s="385"/>
    </row>
    <row r="13" spans="1:6" ht="16.5">
      <c r="A13" s="98">
        <v>4253</v>
      </c>
      <c r="B13" s="104" t="s">
        <v>235</v>
      </c>
      <c r="C13" s="98">
        <v>4540</v>
      </c>
      <c r="D13" s="98">
        <v>4652</v>
      </c>
      <c r="E13" s="362">
        <f aca="true" t="shared" si="0" ref="E13:E22">D13-C13</f>
        <v>112</v>
      </c>
      <c r="F13" s="385"/>
    </row>
    <row r="14" spans="1:6" ht="16.5">
      <c r="A14" s="98">
        <v>1617</v>
      </c>
      <c r="B14" s="104" t="s">
        <v>260</v>
      </c>
      <c r="C14" s="98">
        <v>2724</v>
      </c>
      <c r="D14" s="98">
        <v>5610</v>
      </c>
      <c r="E14" s="362">
        <f t="shared" si="0"/>
        <v>2886</v>
      </c>
      <c r="F14" s="385"/>
    </row>
    <row r="15" spans="1:6" ht="16.5">
      <c r="A15" s="98">
        <v>7345</v>
      </c>
      <c r="B15" s="104" t="s">
        <v>261</v>
      </c>
      <c r="C15" s="103">
        <f>7589-2724</f>
        <v>4865</v>
      </c>
      <c r="D15" s="103">
        <v>1868</v>
      </c>
      <c r="E15" s="362">
        <f t="shared" si="0"/>
        <v>-2997</v>
      </c>
      <c r="F15" s="385"/>
    </row>
    <row r="16" spans="1:6" ht="16.5">
      <c r="A16" s="98">
        <v>1342</v>
      </c>
      <c r="B16" s="104" t="s">
        <v>262</v>
      </c>
      <c r="C16" s="98">
        <v>603</v>
      </c>
      <c r="D16" s="98">
        <v>734</v>
      </c>
      <c r="E16" s="362">
        <f t="shared" si="0"/>
        <v>131</v>
      </c>
      <c r="F16" s="385"/>
    </row>
    <row r="17" spans="1:6" ht="16.5">
      <c r="A17" s="98">
        <f>2946-1342</f>
        <v>1604</v>
      </c>
      <c r="B17" s="104" t="s">
        <v>263</v>
      </c>
      <c r="C17" s="98">
        <f>2360-603</f>
        <v>1757</v>
      </c>
      <c r="D17" s="98">
        <f>2583-734</f>
        <v>1849</v>
      </c>
      <c r="E17" s="362">
        <f t="shared" si="0"/>
        <v>92</v>
      </c>
      <c r="F17" s="385"/>
    </row>
    <row r="18" spans="1:6" ht="16.5">
      <c r="A18" s="98">
        <v>-333</v>
      </c>
      <c r="B18" s="104" t="s">
        <v>150</v>
      </c>
      <c r="C18" s="98">
        <v>-427</v>
      </c>
      <c r="D18" s="98">
        <v>-426</v>
      </c>
      <c r="E18" s="362">
        <f t="shared" si="0"/>
        <v>1</v>
      </c>
      <c r="F18" s="385"/>
    </row>
    <row r="19" spans="1:6" ht="16.5">
      <c r="A19" s="98">
        <f>3045-1</f>
        <v>3044</v>
      </c>
      <c r="B19" s="104" t="s">
        <v>240</v>
      </c>
      <c r="C19" s="98">
        <v>1642</v>
      </c>
      <c r="D19" s="98">
        <v>2330</v>
      </c>
      <c r="E19" s="362">
        <f t="shared" si="0"/>
        <v>688</v>
      </c>
      <c r="F19" s="363"/>
    </row>
    <row r="20" spans="1:6" ht="16.5">
      <c r="A20" s="98">
        <v>1</v>
      </c>
      <c r="B20" s="104" t="s">
        <v>265</v>
      </c>
      <c r="C20" s="98">
        <v>0</v>
      </c>
      <c r="D20" s="98">
        <v>0</v>
      </c>
      <c r="E20" s="362">
        <f t="shared" si="0"/>
        <v>0</v>
      </c>
      <c r="F20" s="363"/>
    </row>
    <row r="21" spans="1:6" ht="16.5">
      <c r="A21" s="98">
        <v>354</v>
      </c>
      <c r="B21" s="104" t="s">
        <v>241</v>
      </c>
      <c r="C21" s="98">
        <v>206</v>
      </c>
      <c r="D21" s="98">
        <v>220</v>
      </c>
      <c r="E21" s="362">
        <f t="shared" si="0"/>
        <v>14</v>
      </c>
      <c r="F21" s="385"/>
    </row>
    <row r="22" spans="1:6" ht="16.5">
      <c r="A22" s="98">
        <v>441</v>
      </c>
      <c r="B22" s="104" t="s">
        <v>243</v>
      </c>
      <c r="C22" s="98">
        <v>66</v>
      </c>
      <c r="D22" s="98">
        <v>233</v>
      </c>
      <c r="E22" s="362">
        <f t="shared" si="0"/>
        <v>167</v>
      </c>
      <c r="F22" s="385"/>
    </row>
    <row r="23" spans="1:6" ht="17.25" thickBot="1">
      <c r="A23" s="232">
        <f>SUM(A13:A22)</f>
        <v>19668</v>
      </c>
      <c r="B23" s="233" t="s">
        <v>205</v>
      </c>
      <c r="C23" s="232">
        <f>SUM(C13:C22)</f>
        <v>15976</v>
      </c>
      <c r="D23" s="232">
        <f>SUM(D13:D22)</f>
        <v>17070</v>
      </c>
      <c r="E23" s="365">
        <f>SUM(E13:E22)</f>
        <v>1094</v>
      </c>
      <c r="F23" s="385"/>
    </row>
    <row r="24" spans="1:6" ht="17.25" thickTop="1">
      <c r="A24" s="234"/>
      <c r="B24" s="235"/>
      <c r="C24" s="234"/>
      <c r="D24" s="234"/>
      <c r="E24" s="366"/>
      <c r="F24" s="385"/>
    </row>
    <row r="25" spans="1:6" ht="16.5">
      <c r="A25" s="103"/>
      <c r="B25" s="236" t="s">
        <v>206</v>
      </c>
      <c r="C25" s="103"/>
      <c r="D25" s="103"/>
      <c r="E25" s="362"/>
      <c r="F25" s="385"/>
    </row>
    <row r="26" spans="1:9" ht="16.5">
      <c r="A26" s="384">
        <v>-3800</v>
      </c>
      <c r="B26" s="237" t="s">
        <v>268</v>
      </c>
      <c r="C26" s="384">
        <v>-1302</v>
      </c>
      <c r="D26" s="384">
        <v>-1099</v>
      </c>
      <c r="E26" s="362">
        <f aca="true" t="shared" si="1" ref="E26:E35">D26-C26</f>
        <v>203</v>
      </c>
      <c r="F26" s="385"/>
      <c r="I26" s="395"/>
    </row>
    <row r="27" spans="1:9" ht="16.5">
      <c r="A27" s="98">
        <v>-232</v>
      </c>
      <c r="B27" s="237" t="s">
        <v>269</v>
      </c>
      <c r="C27" s="98">
        <v>-362</v>
      </c>
      <c r="D27" s="98">
        <v>-361</v>
      </c>
      <c r="E27" s="362">
        <f t="shared" si="1"/>
        <v>1</v>
      </c>
      <c r="F27" s="385"/>
      <c r="I27" s="395"/>
    </row>
    <row r="28" spans="1:6" ht="16.5">
      <c r="A28" s="384">
        <f>-8696-2029</f>
        <v>-10725</v>
      </c>
      <c r="B28" s="104" t="s">
        <v>244</v>
      </c>
      <c r="C28" s="384">
        <f>-7248-2169</f>
        <v>-9417</v>
      </c>
      <c r="D28" s="384">
        <f>-7408-2114</f>
        <v>-9522</v>
      </c>
      <c r="E28" s="362">
        <f t="shared" si="1"/>
        <v>-105</v>
      </c>
      <c r="F28" s="385"/>
    </row>
    <row r="29" spans="1:6" ht="16.5">
      <c r="A29" s="384">
        <v>-5744</v>
      </c>
      <c r="B29" s="383" t="s">
        <v>245</v>
      </c>
      <c r="C29" s="384">
        <v>-1022</v>
      </c>
      <c r="D29" s="384">
        <v>-2167</v>
      </c>
      <c r="E29" s="362">
        <f t="shared" si="1"/>
        <v>-1145</v>
      </c>
      <c r="F29" s="385"/>
    </row>
    <row r="30" spans="1:6" ht="16.5">
      <c r="A30" s="384">
        <v>-8</v>
      </c>
      <c r="B30" s="383" t="s">
        <v>266</v>
      </c>
      <c r="C30" s="384">
        <v>-2100</v>
      </c>
      <c r="D30" s="384">
        <v>-3</v>
      </c>
      <c r="E30" s="362">
        <f t="shared" si="1"/>
        <v>2097</v>
      </c>
      <c r="F30" s="385"/>
    </row>
    <row r="31" spans="1:6" ht="16.5">
      <c r="A31" s="384">
        <v>-4749</v>
      </c>
      <c r="B31" s="384" t="s">
        <v>267</v>
      </c>
      <c r="C31" s="383">
        <v>-6257</v>
      </c>
      <c r="D31" s="383">
        <v>-9097</v>
      </c>
      <c r="E31" s="362">
        <f t="shared" si="1"/>
        <v>-2840</v>
      </c>
      <c r="F31" s="385"/>
    </row>
    <row r="32" spans="1:6" ht="16.5">
      <c r="A32" s="384">
        <v>-3736</v>
      </c>
      <c r="B32" s="383" t="s">
        <v>246</v>
      </c>
      <c r="C32" s="384">
        <v>-3888</v>
      </c>
      <c r="D32" s="384">
        <v>-3844</v>
      </c>
      <c r="E32" s="362">
        <f t="shared" si="1"/>
        <v>44</v>
      </c>
      <c r="F32" s="363"/>
    </row>
    <row r="33" spans="1:6" ht="16.5">
      <c r="A33" s="384">
        <v>0</v>
      </c>
      <c r="B33" s="383" t="s">
        <v>248</v>
      </c>
      <c r="C33" s="384">
        <v>-7</v>
      </c>
      <c r="D33" s="384">
        <v>-5</v>
      </c>
      <c r="E33" s="362">
        <f t="shared" si="1"/>
        <v>2</v>
      </c>
      <c r="F33" s="363"/>
    </row>
    <row r="34" spans="1:6" ht="16.5">
      <c r="A34" s="98">
        <v>-5</v>
      </c>
      <c r="B34" s="237" t="s">
        <v>247</v>
      </c>
      <c r="C34" s="98">
        <v>-5</v>
      </c>
      <c r="D34" s="98">
        <v>-4</v>
      </c>
      <c r="E34" s="362">
        <f t="shared" si="1"/>
        <v>1</v>
      </c>
      <c r="F34" s="363"/>
    </row>
    <row r="35" spans="1:6" ht="16.5">
      <c r="A35" s="98">
        <v>-191</v>
      </c>
      <c r="B35" s="237" t="s">
        <v>272</v>
      </c>
      <c r="C35" s="98">
        <v>-72</v>
      </c>
      <c r="D35" s="98">
        <v>-832</v>
      </c>
      <c r="E35" s="362">
        <f t="shared" si="1"/>
        <v>-760</v>
      </c>
      <c r="F35" s="363"/>
    </row>
    <row r="36" spans="1:6" ht="17.25" thickBot="1">
      <c r="A36" s="232">
        <f>SUM(A26:A35)</f>
        <v>-29190</v>
      </c>
      <c r="B36" s="238" t="s">
        <v>207</v>
      </c>
      <c r="C36" s="232">
        <f>SUM(C26:C35)</f>
        <v>-24432</v>
      </c>
      <c r="D36" s="232">
        <f>SUM(D26:D35)</f>
        <v>-26934</v>
      </c>
      <c r="E36" s="365">
        <f>SUM(E26:E35)</f>
        <v>-2502</v>
      </c>
      <c r="F36" s="363"/>
    </row>
    <row r="37" spans="1:6" ht="17.25" thickTop="1">
      <c r="A37" s="239"/>
      <c r="B37" s="239"/>
      <c r="C37" s="239"/>
      <c r="D37" s="239"/>
      <c r="E37" s="368"/>
      <c r="F37" s="363"/>
    </row>
    <row r="38" spans="1:6" ht="17.25" thickBot="1">
      <c r="A38" s="238">
        <f>+A23+A36</f>
        <v>-9522</v>
      </c>
      <c r="B38" s="238" t="s">
        <v>236</v>
      </c>
      <c r="C38" s="238">
        <f>+C23+C36</f>
        <v>-8456</v>
      </c>
      <c r="D38" s="238">
        <f>+D23+D36</f>
        <v>-9864</v>
      </c>
      <c r="E38" s="367">
        <f>+E23+E36</f>
        <v>-1408</v>
      </c>
      <c r="F38" s="363"/>
    </row>
    <row r="39" spans="1:6" ht="17.25" thickTop="1">
      <c r="A39" s="235"/>
      <c r="B39" s="235"/>
      <c r="C39" s="235"/>
      <c r="D39" s="235"/>
      <c r="E39" s="369"/>
      <c r="F39" s="363"/>
    </row>
    <row r="40" spans="1:6" ht="17.25" thickBot="1">
      <c r="A40" s="238">
        <f>+A38+A10</f>
        <v>149730</v>
      </c>
      <c r="B40" s="238" t="s">
        <v>208</v>
      </c>
      <c r="C40" s="238">
        <f>+C38+C10</f>
        <v>149136</v>
      </c>
      <c r="D40" s="238">
        <f>+D38+D10</f>
        <v>149718</v>
      </c>
      <c r="E40" s="367">
        <f>+E38+E10</f>
        <v>582</v>
      </c>
      <c r="F40" s="363"/>
    </row>
    <row r="41" spans="1:6" ht="17.25" thickTop="1">
      <c r="A41" s="237"/>
      <c r="B41" s="237"/>
      <c r="C41" s="237"/>
      <c r="D41" s="237"/>
      <c r="E41" s="363"/>
      <c r="F41" s="363"/>
    </row>
    <row r="42" spans="1:6" ht="15" customHeight="1">
      <c r="A42" s="241">
        <v>-511</v>
      </c>
      <c r="B42" s="237" t="s">
        <v>272</v>
      </c>
      <c r="C42" s="241">
        <v>-505</v>
      </c>
      <c r="D42" s="241">
        <v>-478</v>
      </c>
      <c r="E42" s="363">
        <f>D42-C42</f>
        <v>27</v>
      </c>
      <c r="F42" s="363"/>
    </row>
    <row r="43" spans="1:6" ht="16.5">
      <c r="A43" s="240">
        <v>-4</v>
      </c>
      <c r="B43" s="237" t="s">
        <v>247</v>
      </c>
      <c r="C43" s="240">
        <v>-4</v>
      </c>
      <c r="D43" s="240">
        <v>0</v>
      </c>
      <c r="E43" s="363">
        <f>D43-C43</f>
        <v>4</v>
      </c>
      <c r="F43" s="363"/>
    </row>
    <row r="44" spans="1:6" ht="17.25" thickBot="1">
      <c r="A44" s="356">
        <f>SUM(A40:A43)</f>
        <v>149215</v>
      </c>
      <c r="B44" s="356" t="s">
        <v>149</v>
      </c>
      <c r="C44" s="356">
        <f>SUM(C40:C43)</f>
        <v>148627</v>
      </c>
      <c r="D44" s="356">
        <f>SUM(D40:D43)</f>
        <v>149240</v>
      </c>
      <c r="E44" s="370">
        <f>SUM(E40:E43)</f>
        <v>613</v>
      </c>
      <c r="F44" s="389"/>
    </row>
    <row r="45" spans="1:6" ht="17.25" thickTop="1">
      <c r="A45" s="237"/>
      <c r="B45" s="237"/>
      <c r="C45" s="237"/>
      <c r="D45" s="237"/>
      <c r="E45" s="363"/>
      <c r="F45" s="385"/>
    </row>
    <row r="46" spans="1:6" ht="16.5">
      <c r="A46" s="237"/>
      <c r="B46" s="236" t="s">
        <v>270</v>
      </c>
      <c r="C46" s="237"/>
      <c r="D46" s="237"/>
      <c r="E46" s="363"/>
      <c r="F46" s="385"/>
    </row>
    <row r="47" spans="1:6" ht="16.5">
      <c r="A47" s="241">
        <v>143122</v>
      </c>
      <c r="B47" s="237" t="s">
        <v>209</v>
      </c>
      <c r="C47" s="241">
        <v>143622</v>
      </c>
      <c r="D47" s="241">
        <v>143622</v>
      </c>
      <c r="E47" s="363">
        <f>D47-C47</f>
        <v>0</v>
      </c>
      <c r="F47" s="385"/>
    </row>
    <row r="48" spans="1:9" ht="16.5">
      <c r="A48" s="241">
        <f>-24864-11955-944-391+351+775+436+1571</f>
        <v>-35021</v>
      </c>
      <c r="B48" s="237" t="s">
        <v>237</v>
      </c>
      <c r="C48" s="241">
        <f>-35021-123-681-345+728-383-642+275+12+109+318+66</f>
        <v>-35687</v>
      </c>
      <c r="D48" s="241">
        <f>-35021-123-681-345+728-383-642+275+12+109+318+66+340</f>
        <v>-35347</v>
      </c>
      <c r="E48" s="363">
        <f>D48-C48</f>
        <v>340</v>
      </c>
      <c r="F48" s="385"/>
      <c r="I48" s="395"/>
    </row>
    <row r="49" spans="1:6" ht="16.5">
      <c r="A49" s="241">
        <v>35502</v>
      </c>
      <c r="B49" s="237" t="s">
        <v>210</v>
      </c>
      <c r="C49" s="241">
        <v>35502</v>
      </c>
      <c r="D49" s="241">
        <v>35502</v>
      </c>
      <c r="E49" s="363">
        <f>D49-C49</f>
        <v>0</v>
      </c>
      <c r="F49" s="385"/>
    </row>
    <row r="50" spans="1:6" ht="19.5" customHeight="1">
      <c r="A50" s="240">
        <v>5612</v>
      </c>
      <c r="B50" s="237" t="s">
        <v>211</v>
      </c>
      <c r="C50" s="240">
        <v>5190</v>
      </c>
      <c r="D50" s="240">
        <v>5463</v>
      </c>
      <c r="E50" s="363">
        <f>D50-C50</f>
        <v>273</v>
      </c>
      <c r="F50" s="385"/>
    </row>
    <row r="51" spans="1:6" ht="17.25" thickBot="1">
      <c r="A51" s="371">
        <f>SUM(A46:A50)</f>
        <v>149215</v>
      </c>
      <c r="B51" s="371" t="s">
        <v>271</v>
      </c>
      <c r="C51" s="371">
        <f>SUM(C46:C50)</f>
        <v>148627</v>
      </c>
      <c r="D51" s="371">
        <f>SUM(D46:D50)</f>
        <v>149240</v>
      </c>
      <c r="E51" s="372">
        <f>SUM(E46:E50)</f>
        <v>613</v>
      </c>
      <c r="F51" s="390"/>
    </row>
    <row r="52" spans="1:5" ht="16.5">
      <c r="A52" s="104"/>
      <c r="B52" s="104"/>
      <c r="C52" s="104"/>
      <c r="D52" s="104"/>
      <c r="E52" s="104"/>
    </row>
    <row r="53" spans="1:6" ht="16.5">
      <c r="A53" s="559"/>
      <c r="B53" s="559"/>
      <c r="C53" s="559"/>
      <c r="D53" s="559"/>
      <c r="E53" s="559"/>
      <c r="F53" s="559"/>
    </row>
    <row r="54" spans="1:5" ht="16.5">
      <c r="A54" s="104"/>
      <c r="B54" s="104"/>
      <c r="C54" s="104"/>
      <c r="D54" s="104"/>
      <c r="E54" s="104"/>
    </row>
    <row r="55" spans="1:4" ht="16.5">
      <c r="A55" s="104"/>
      <c r="B55" s="104"/>
      <c r="C55" s="104"/>
      <c r="D55" s="104"/>
    </row>
  </sheetData>
  <sheetProtection/>
  <mergeCells count="3">
    <mergeCell ref="B1:F1"/>
    <mergeCell ref="B2:F2"/>
    <mergeCell ref="A53:F53"/>
  </mergeCells>
  <printOptions/>
  <pageMargins left="0.74" right="0.35433070866141736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/>
  <dimension ref="A1:AA56"/>
  <sheetViews>
    <sheetView workbookViewId="0" topLeftCell="A12">
      <selection activeCell="M12" sqref="M12:X13"/>
    </sheetView>
  </sheetViews>
  <sheetFormatPr defaultColWidth="9.140625" defaultRowHeight="12.75"/>
  <cols>
    <col min="1" max="1" width="2.140625" style="243" customWidth="1"/>
    <col min="2" max="2" width="3.7109375" style="243" bestFit="1" customWidth="1"/>
    <col min="3" max="3" width="36.7109375" style="243" customWidth="1"/>
    <col min="4" max="4" width="9.7109375" style="243" hidden="1" customWidth="1"/>
    <col min="5" max="5" width="7.7109375" style="243" hidden="1" customWidth="1"/>
    <col min="6" max="6" width="8.00390625" style="243" hidden="1" customWidth="1"/>
    <col min="7" max="7" width="7.28125" style="243" hidden="1" customWidth="1"/>
    <col min="8" max="8" width="1.1484375" style="243" hidden="1" customWidth="1"/>
    <col min="9" max="9" width="9.28125" style="243" hidden="1" customWidth="1"/>
    <col min="10" max="10" width="0.2890625" style="243" hidden="1" customWidth="1"/>
    <col min="11" max="11" width="38.28125" style="244" hidden="1" customWidth="1"/>
    <col min="12" max="12" width="1.8515625" style="244" hidden="1" customWidth="1"/>
    <col min="13" max="17" width="10.7109375" style="243" customWidth="1"/>
    <col min="18" max="18" width="10.57421875" style="243" customWidth="1"/>
    <col min="19" max="22" width="10.7109375" style="243" customWidth="1"/>
    <col min="23" max="23" width="9.57421875" style="243" customWidth="1"/>
    <col min="24" max="24" width="9.8515625" style="243" customWidth="1"/>
    <col min="25" max="25" width="10.57421875" style="243" hidden="1" customWidth="1"/>
    <col min="26" max="26" width="7.57421875" style="378" hidden="1" customWidth="1"/>
    <col min="27" max="16384" width="9.140625" style="243" customWidth="1"/>
  </cols>
  <sheetData>
    <row r="1" spans="3:24" ht="20.25">
      <c r="C1" s="242" t="s">
        <v>274</v>
      </c>
      <c r="E1" s="243">
        <f>1057+704</f>
        <v>1761</v>
      </c>
      <c r="U1" s="245"/>
      <c r="V1" s="245"/>
      <c r="W1" s="245"/>
      <c r="X1" s="246" t="s">
        <v>212</v>
      </c>
    </row>
    <row r="2" ht="13.5" customHeight="1">
      <c r="C2" s="247"/>
    </row>
    <row r="3" ht="13.5" customHeight="1">
      <c r="C3" s="248" t="s">
        <v>366</v>
      </c>
    </row>
    <row r="4" spans="3:12" ht="13.5" customHeight="1">
      <c r="C4" s="249"/>
      <c r="D4" s="250"/>
      <c r="K4" s="251" t="s">
        <v>213</v>
      </c>
      <c r="L4" s="251"/>
    </row>
    <row r="5" ht="13.5" customHeight="1" thickBot="1"/>
    <row r="6" spans="3:26" ht="13.5" customHeight="1" thickBot="1">
      <c r="C6" s="252"/>
      <c r="D6" s="344"/>
      <c r="E6" s="344"/>
      <c r="F6" s="345"/>
      <c r="G6" s="346"/>
      <c r="H6" s="345"/>
      <c r="I6" s="345"/>
      <c r="J6" s="346"/>
      <c r="K6" s="344"/>
      <c r="L6" s="344"/>
      <c r="M6" s="324" t="s">
        <v>96</v>
      </c>
      <c r="N6" s="324" t="s">
        <v>96</v>
      </c>
      <c r="O6" s="324" t="s">
        <v>96</v>
      </c>
      <c r="P6" s="324" t="s">
        <v>96</v>
      </c>
      <c r="Q6" s="324" t="s">
        <v>96</v>
      </c>
      <c r="R6" s="324" t="s">
        <v>96</v>
      </c>
      <c r="S6" s="324" t="s">
        <v>96</v>
      </c>
      <c r="T6" s="324" t="s">
        <v>96</v>
      </c>
      <c r="U6" s="324" t="s">
        <v>96</v>
      </c>
      <c r="V6" s="324" t="s">
        <v>96</v>
      </c>
      <c r="W6" s="324" t="s">
        <v>96</v>
      </c>
      <c r="X6" s="530" t="s">
        <v>96</v>
      </c>
      <c r="Y6" s="427" t="s">
        <v>100</v>
      </c>
      <c r="Z6" s="324" t="s">
        <v>100</v>
      </c>
    </row>
    <row r="7" spans="3:26" ht="13.5" customHeight="1">
      <c r="C7" s="255"/>
      <c r="D7" s="256" t="s">
        <v>214</v>
      </c>
      <c r="E7" s="257" t="s">
        <v>2</v>
      </c>
      <c r="F7" s="258" t="s">
        <v>215</v>
      </c>
      <c r="G7" s="347"/>
      <c r="H7" s="259"/>
      <c r="I7" s="260" t="s">
        <v>215</v>
      </c>
      <c r="J7" s="261"/>
      <c r="K7" s="261"/>
      <c r="L7" s="253"/>
      <c r="M7" s="321" t="s">
        <v>278</v>
      </c>
      <c r="N7" s="322" t="s">
        <v>279</v>
      </c>
      <c r="O7" s="322" t="s">
        <v>280</v>
      </c>
      <c r="P7" s="322" t="s">
        <v>281</v>
      </c>
      <c r="Q7" s="322" t="s">
        <v>282</v>
      </c>
      <c r="R7" s="322" t="s">
        <v>283</v>
      </c>
      <c r="S7" s="322" t="s">
        <v>284</v>
      </c>
      <c r="T7" s="322" t="s">
        <v>285</v>
      </c>
      <c r="U7" s="322" t="s">
        <v>286</v>
      </c>
      <c r="V7" s="322" t="s">
        <v>287</v>
      </c>
      <c r="W7" s="322" t="s">
        <v>288</v>
      </c>
      <c r="X7" s="323" t="s">
        <v>289</v>
      </c>
      <c r="Y7" s="377" t="s">
        <v>2</v>
      </c>
      <c r="Z7" s="428" t="s">
        <v>202</v>
      </c>
    </row>
    <row r="8" spans="3:25" ht="13.5" customHeight="1" thickBot="1">
      <c r="C8" s="262"/>
      <c r="D8" s="263" t="s">
        <v>96</v>
      </c>
      <c r="E8" s="264" t="s">
        <v>100</v>
      </c>
      <c r="F8" s="265" t="s">
        <v>2</v>
      </c>
      <c r="G8" s="347"/>
      <c r="H8" s="266"/>
      <c r="I8" s="267" t="s">
        <v>2</v>
      </c>
      <c r="J8" s="261"/>
      <c r="K8" s="261"/>
      <c r="L8" s="253"/>
      <c r="M8" s="268" t="s">
        <v>145</v>
      </c>
      <c r="N8" s="269" t="s">
        <v>145</v>
      </c>
      <c r="O8" s="269" t="s">
        <v>145</v>
      </c>
      <c r="P8" s="269" t="s">
        <v>145</v>
      </c>
      <c r="Q8" s="269" t="s">
        <v>145</v>
      </c>
      <c r="R8" s="269" t="s">
        <v>145</v>
      </c>
      <c r="S8" s="269" t="s">
        <v>145</v>
      </c>
      <c r="T8" s="269" t="s">
        <v>145</v>
      </c>
      <c r="U8" s="269" t="s">
        <v>145</v>
      </c>
      <c r="V8" s="269" t="s">
        <v>145</v>
      </c>
      <c r="W8" s="269" t="s">
        <v>145</v>
      </c>
      <c r="X8" s="270" t="s">
        <v>145</v>
      </c>
      <c r="Y8" s="271"/>
    </row>
    <row r="9" spans="3:25" ht="13.5" customHeight="1">
      <c r="C9" s="252"/>
      <c r="D9" s="255"/>
      <c r="E9" s="249"/>
      <c r="F9" s="348"/>
      <c r="G9" s="249"/>
      <c r="H9" s="272"/>
      <c r="I9" s="348"/>
      <c r="J9" s="271"/>
      <c r="K9" s="349"/>
      <c r="L9" s="253"/>
      <c r="M9" s="325"/>
      <c r="N9" s="335"/>
      <c r="O9" s="335"/>
      <c r="P9" s="335"/>
      <c r="Q9" s="335"/>
      <c r="R9" s="335"/>
      <c r="S9" s="335"/>
      <c r="T9" s="335"/>
      <c r="U9" s="335"/>
      <c r="V9" s="335"/>
      <c r="W9" s="339"/>
      <c r="X9" s="465"/>
      <c r="Y9" s="249"/>
    </row>
    <row r="10" spans="3:26" s="254" customFormat="1" ht="13.5" customHeight="1">
      <c r="C10" s="273" t="s">
        <v>146</v>
      </c>
      <c r="D10" s="274" t="e">
        <f>+#REF!</f>
        <v>#REF!</v>
      </c>
      <c r="E10" s="275"/>
      <c r="F10" s="276" t="e">
        <f>+E10+D10</f>
        <v>#REF!</v>
      </c>
      <c r="G10" s="347"/>
      <c r="H10" s="266"/>
      <c r="I10" s="276">
        <v>441.112</v>
      </c>
      <c r="J10" s="261"/>
      <c r="K10" s="277" t="str">
        <f>+C10</f>
        <v>Opening Balance</v>
      </c>
      <c r="L10" s="253"/>
      <c r="M10" s="326">
        <v>441</v>
      </c>
      <c r="N10" s="336">
        <f aca="true" t="shared" si="0" ref="N10:X10">+M52</f>
        <v>39</v>
      </c>
      <c r="O10" s="461">
        <f t="shared" si="0"/>
        <v>343</v>
      </c>
      <c r="P10" s="336">
        <f t="shared" si="0"/>
        <v>42</v>
      </c>
      <c r="Q10" s="336">
        <f t="shared" si="0"/>
        <v>45</v>
      </c>
      <c r="R10" s="336">
        <f t="shared" si="0"/>
        <v>1938</v>
      </c>
      <c r="S10" s="336">
        <f t="shared" si="0"/>
        <v>316</v>
      </c>
      <c r="T10" s="336">
        <f t="shared" si="0"/>
        <v>55</v>
      </c>
      <c r="U10" s="336">
        <f t="shared" si="0"/>
        <v>55</v>
      </c>
      <c r="V10" s="336">
        <f t="shared" si="0"/>
        <v>465</v>
      </c>
      <c r="W10" s="336">
        <f t="shared" si="0"/>
        <v>38</v>
      </c>
      <c r="X10" s="466">
        <f t="shared" si="0"/>
        <v>66</v>
      </c>
      <c r="Y10" s="275"/>
      <c r="Z10" s="379">
        <v>441</v>
      </c>
    </row>
    <row r="11" spans="3:25" ht="13.5" customHeight="1">
      <c r="C11" s="279"/>
      <c r="D11" s="280"/>
      <c r="E11" s="281"/>
      <c r="F11" s="282"/>
      <c r="G11" s="249"/>
      <c r="H11" s="272"/>
      <c r="I11" s="282"/>
      <c r="J11" s="271"/>
      <c r="K11" s="283"/>
      <c r="L11" s="253"/>
      <c r="M11" s="327"/>
      <c r="N11" s="337"/>
      <c r="O11" s="340"/>
      <c r="P11" s="337"/>
      <c r="Q11" s="337"/>
      <c r="R11" s="337"/>
      <c r="S11" s="337"/>
      <c r="T11" s="337"/>
      <c r="U11" s="337"/>
      <c r="V11" s="337"/>
      <c r="W11" s="337"/>
      <c r="X11" s="467"/>
      <c r="Y11" s="281"/>
    </row>
    <row r="12" spans="3:26" ht="13.5" customHeight="1">
      <c r="C12" s="286" t="s">
        <v>216</v>
      </c>
      <c r="D12" s="280" t="e">
        <f>SUM(#REF!)</f>
        <v>#REF!</v>
      </c>
      <c r="E12" s="281" t="e">
        <f>SUM(#REF!)</f>
        <v>#REF!</v>
      </c>
      <c r="F12" s="282" t="e">
        <f>+E12+D12</f>
        <v>#REF!</v>
      </c>
      <c r="G12" s="284" t="e">
        <f aca="true" t="shared" si="1" ref="G12:G22">+F12-I12</f>
        <v>#REF!</v>
      </c>
      <c r="H12" s="272"/>
      <c r="I12" s="282">
        <v>19916</v>
      </c>
      <c r="J12" s="271"/>
      <c r="K12" s="283" t="str">
        <f>+C12</f>
        <v>EBITDA </v>
      </c>
      <c r="L12" s="253"/>
      <c r="M12" s="327">
        <v>978</v>
      </c>
      <c r="N12" s="337">
        <v>489</v>
      </c>
      <c r="O12" s="340">
        <v>751</v>
      </c>
      <c r="P12" s="340">
        <v>1847</v>
      </c>
      <c r="Q12" s="340">
        <f>728+15</f>
        <v>743</v>
      </c>
      <c r="R12" s="340">
        <v>476</v>
      </c>
      <c r="S12" s="340">
        <v>1409</v>
      </c>
      <c r="T12" s="340">
        <f>1085+50</f>
        <v>1135</v>
      </c>
      <c r="U12" s="340">
        <v>1362</v>
      </c>
      <c r="V12" s="340">
        <v>1449</v>
      </c>
      <c r="W12" s="340">
        <v>1169</v>
      </c>
      <c r="X12" s="468">
        <v>1401</v>
      </c>
      <c r="Y12" s="281">
        <f>SUM(M12:X12)</f>
        <v>13209</v>
      </c>
      <c r="Z12" s="378">
        <v>15673</v>
      </c>
    </row>
    <row r="13" spans="3:26" ht="13.5" customHeight="1">
      <c r="C13" s="286" t="s">
        <v>238</v>
      </c>
      <c r="D13" s="288" t="e">
        <f>SUM(#REF!)</f>
        <v>#REF!</v>
      </c>
      <c r="E13" s="289" t="e">
        <f>SUM(#REF!)</f>
        <v>#REF!</v>
      </c>
      <c r="F13" s="282" t="e">
        <f>+E13+D13</f>
        <v>#REF!</v>
      </c>
      <c r="G13" s="284" t="e">
        <f t="shared" si="1"/>
        <v>#REF!</v>
      </c>
      <c r="H13" s="272"/>
      <c r="I13" s="282">
        <v>-760</v>
      </c>
      <c r="J13" s="271"/>
      <c r="K13" s="283" t="str">
        <f>+C13</f>
        <v>Transfers from Donated Asset Reserve</v>
      </c>
      <c r="L13" s="253"/>
      <c r="M13" s="327">
        <v>-60</v>
      </c>
      <c r="N13" s="337">
        <v>-61</v>
      </c>
      <c r="O13" s="340">
        <v>-60</v>
      </c>
      <c r="P13" s="337">
        <v>-63</v>
      </c>
      <c r="Q13" s="337">
        <v>-62</v>
      </c>
      <c r="R13" s="337">
        <v>-92</v>
      </c>
      <c r="S13" s="337">
        <v>-77</v>
      </c>
      <c r="T13" s="337">
        <v>-75</v>
      </c>
      <c r="U13" s="337">
        <v>-75</v>
      </c>
      <c r="V13" s="337">
        <v>-73</v>
      </c>
      <c r="W13" s="337">
        <v>-75</v>
      </c>
      <c r="X13" s="471">
        <v>-72</v>
      </c>
      <c r="Y13" s="281">
        <f>SUM(M13:X13)</f>
        <v>-845</v>
      </c>
      <c r="Z13" s="378">
        <v>-648</v>
      </c>
    </row>
    <row r="14" spans="3:26" ht="13.5" customHeight="1" thickBot="1">
      <c r="C14" s="286" t="s">
        <v>217</v>
      </c>
      <c r="D14" s="288" t="e">
        <f>SUM(#REF!)</f>
        <v>#REF!</v>
      </c>
      <c r="E14" s="289"/>
      <c r="F14" s="282" t="e">
        <f>+E14+D14</f>
        <v>#REF!</v>
      </c>
      <c r="G14" s="284" t="e">
        <f t="shared" si="1"/>
        <v>#REF!</v>
      </c>
      <c r="H14" s="272"/>
      <c r="I14" s="282">
        <v>25</v>
      </c>
      <c r="J14" s="271"/>
      <c r="K14" s="283" t="str">
        <f>+C14</f>
        <v>Fixed Asset Impairments &amp; Reversals</v>
      </c>
      <c r="L14" s="253"/>
      <c r="M14" s="327"/>
      <c r="N14" s="337"/>
      <c r="O14" s="340"/>
      <c r="P14" s="337"/>
      <c r="Q14" s="337"/>
      <c r="R14" s="337">
        <v>351</v>
      </c>
      <c r="S14" s="337"/>
      <c r="T14" s="337"/>
      <c r="U14" s="337"/>
      <c r="V14" s="337"/>
      <c r="W14" s="337"/>
      <c r="X14" s="467"/>
      <c r="Y14" s="281">
        <f>SUM(M14:X14)</f>
        <v>351</v>
      </c>
      <c r="Z14" s="378">
        <v>500</v>
      </c>
    </row>
    <row r="15" spans="3:26" s="254" customFormat="1" ht="13.5" customHeight="1" thickBot="1">
      <c r="C15" s="290" t="s">
        <v>218</v>
      </c>
      <c r="D15" s="291" t="e">
        <f>+D13+D12+D14</f>
        <v>#REF!</v>
      </c>
      <c r="E15" s="292" t="e">
        <f>+E13+E12+E14</f>
        <v>#REF!</v>
      </c>
      <c r="F15" s="293" t="e">
        <f>+F13+F12+F14</f>
        <v>#REF!</v>
      </c>
      <c r="G15" s="278" t="e">
        <f t="shared" si="1"/>
        <v>#REF!</v>
      </c>
      <c r="H15" s="266"/>
      <c r="I15" s="293">
        <f>SUM(I12:I14)</f>
        <v>19181</v>
      </c>
      <c r="J15" s="261"/>
      <c r="K15" s="294" t="s">
        <v>218</v>
      </c>
      <c r="L15" s="253"/>
      <c r="M15" s="328">
        <f aca="true" t="shared" si="2" ref="M15:Z15">+M13+M12+M14</f>
        <v>918</v>
      </c>
      <c r="N15" s="338">
        <f t="shared" si="2"/>
        <v>428</v>
      </c>
      <c r="O15" s="462">
        <f t="shared" si="2"/>
        <v>691</v>
      </c>
      <c r="P15" s="338">
        <f t="shared" si="2"/>
        <v>1784</v>
      </c>
      <c r="Q15" s="338">
        <f t="shared" si="2"/>
        <v>681</v>
      </c>
      <c r="R15" s="338">
        <f t="shared" si="2"/>
        <v>735</v>
      </c>
      <c r="S15" s="338">
        <f t="shared" si="2"/>
        <v>1332</v>
      </c>
      <c r="T15" s="338">
        <f t="shared" si="2"/>
        <v>1060</v>
      </c>
      <c r="U15" s="338">
        <f t="shared" si="2"/>
        <v>1287</v>
      </c>
      <c r="V15" s="338">
        <f t="shared" si="2"/>
        <v>1376</v>
      </c>
      <c r="W15" s="338">
        <f t="shared" si="2"/>
        <v>1094</v>
      </c>
      <c r="X15" s="469">
        <f t="shared" si="2"/>
        <v>1329</v>
      </c>
      <c r="Y15" s="295">
        <f t="shared" si="2"/>
        <v>12715</v>
      </c>
      <c r="Z15" s="380">
        <f t="shared" si="2"/>
        <v>15525</v>
      </c>
    </row>
    <row r="16" spans="3:25" ht="13.5" customHeight="1">
      <c r="C16" s="286"/>
      <c r="D16" s="280"/>
      <c r="E16" s="281"/>
      <c r="F16" s="296"/>
      <c r="G16" s="284">
        <f t="shared" si="1"/>
        <v>0</v>
      </c>
      <c r="H16" s="272"/>
      <c r="I16" s="296"/>
      <c r="J16" s="271"/>
      <c r="K16" s="283"/>
      <c r="L16" s="253"/>
      <c r="M16" s="329"/>
      <c r="N16" s="339"/>
      <c r="O16" s="463"/>
      <c r="P16" s="339"/>
      <c r="Q16" s="339"/>
      <c r="R16" s="339"/>
      <c r="S16" s="339"/>
      <c r="T16" s="339"/>
      <c r="U16" s="339"/>
      <c r="V16" s="339"/>
      <c r="W16" s="339"/>
      <c r="X16" s="467"/>
      <c r="Y16" s="281"/>
    </row>
    <row r="17" spans="3:25" ht="13.5" customHeight="1">
      <c r="C17" s="297" t="s">
        <v>230</v>
      </c>
      <c r="D17" s="280"/>
      <c r="E17" s="281"/>
      <c r="F17" s="296"/>
      <c r="G17" s="284">
        <f t="shared" si="1"/>
        <v>0</v>
      </c>
      <c r="H17" s="272"/>
      <c r="I17" s="296"/>
      <c r="J17" s="281"/>
      <c r="K17" s="283"/>
      <c r="L17" s="253"/>
      <c r="M17" s="354"/>
      <c r="N17" s="339"/>
      <c r="O17" s="463"/>
      <c r="P17" s="339"/>
      <c r="Q17" s="339"/>
      <c r="R17" s="339"/>
      <c r="S17" s="339"/>
      <c r="T17" s="339"/>
      <c r="U17" s="339"/>
      <c r="V17" s="339"/>
      <c r="W17" s="339"/>
      <c r="X17" s="467"/>
      <c r="Y17" s="281"/>
    </row>
    <row r="18" spans="3:25" ht="13.5" customHeight="1">
      <c r="C18" s="391" t="s">
        <v>264</v>
      </c>
      <c r="D18" s="288" t="e">
        <f>SUM(#REF!)</f>
        <v>#REF!</v>
      </c>
      <c r="E18" s="281" t="e">
        <f>SUM(#REF!)</f>
        <v>#REF!</v>
      </c>
      <c r="F18" s="282" t="e">
        <f>+E18+D18</f>
        <v>#REF!</v>
      </c>
      <c r="G18" s="284" t="e">
        <f t="shared" si="1"/>
        <v>#REF!</v>
      </c>
      <c r="H18" s="272"/>
      <c r="I18" s="282">
        <v>0</v>
      </c>
      <c r="J18" s="281"/>
      <c r="K18" s="283" t="str">
        <f>+C18</f>
        <v>        Inventories</v>
      </c>
      <c r="L18" s="253"/>
      <c r="M18" s="327">
        <v>-8</v>
      </c>
      <c r="N18" s="337">
        <v>-25</v>
      </c>
      <c r="O18" s="340">
        <v>8</v>
      </c>
      <c r="P18" s="337">
        <v>-20</v>
      </c>
      <c r="Q18" s="337">
        <v>38</v>
      </c>
      <c r="R18" s="337">
        <v>-28</v>
      </c>
      <c r="S18" s="337">
        <v>-126</v>
      </c>
      <c r="T18" s="337">
        <v>71</v>
      </c>
      <c r="U18" s="337">
        <v>-90</v>
      </c>
      <c r="V18" s="337">
        <v>-248</v>
      </c>
      <c r="W18" s="337">
        <v>141</v>
      </c>
      <c r="X18" s="467">
        <v>-112</v>
      </c>
      <c r="Y18" s="281"/>
    </row>
    <row r="19" spans="3:25" ht="13.5" customHeight="1">
      <c r="C19" s="391" t="s">
        <v>249</v>
      </c>
      <c r="D19" s="288" t="e">
        <f>SUM(#REF!)</f>
        <v>#REF!</v>
      </c>
      <c r="E19" s="289" t="e">
        <f>SUM(#REF!)</f>
        <v>#REF!</v>
      </c>
      <c r="F19" s="282" t="e">
        <f>+E19+D19</f>
        <v>#REF!</v>
      </c>
      <c r="G19" s="284" t="e">
        <f t="shared" si="1"/>
        <v>#REF!</v>
      </c>
      <c r="H19" s="272"/>
      <c r="I19" s="282">
        <v>816</v>
      </c>
      <c r="J19" s="281"/>
      <c r="K19" s="283" t="str">
        <f>+C19</f>
        <v>        NHS Receivables - Revenue</v>
      </c>
      <c r="L19" s="253"/>
      <c r="M19" s="327">
        <f>-4364+4165</f>
        <v>-199</v>
      </c>
      <c r="N19" s="337">
        <v>1408</v>
      </c>
      <c r="O19" s="340">
        <v>1752</v>
      </c>
      <c r="P19" s="337">
        <v>-623</v>
      </c>
      <c r="Q19" s="337">
        <v>-79</v>
      </c>
      <c r="R19" s="337">
        <v>819</v>
      </c>
      <c r="S19" s="337">
        <v>-1525</v>
      </c>
      <c r="T19" s="337">
        <v>507</v>
      </c>
      <c r="U19" s="337">
        <v>2600</v>
      </c>
      <c r="V19" s="337">
        <v>-608</v>
      </c>
      <c r="W19" s="337">
        <v>-2679</v>
      </c>
      <c r="X19" s="468">
        <v>111</v>
      </c>
      <c r="Y19" s="289"/>
    </row>
    <row r="20" spans="3:25" ht="13.5" customHeight="1">
      <c r="C20" s="391" t="s">
        <v>250</v>
      </c>
      <c r="D20" s="288" t="e">
        <f>SUM(#REF!)</f>
        <v>#REF!</v>
      </c>
      <c r="E20" s="289" t="e">
        <f>SUM(#REF!)</f>
        <v>#REF!</v>
      </c>
      <c r="F20" s="282" t="e">
        <f>+E20+D20</f>
        <v>#REF!</v>
      </c>
      <c r="G20" s="284" t="e">
        <f t="shared" si="1"/>
        <v>#REF!</v>
      </c>
      <c r="H20" s="272"/>
      <c r="I20" s="282">
        <v>0</v>
      </c>
      <c r="J20" s="281"/>
      <c r="K20" s="283" t="str">
        <f>+C20</f>
        <v>        Non- NHS Receivables - Revenue</v>
      </c>
      <c r="L20" s="253"/>
      <c r="M20" s="327">
        <f>-1067-1577</f>
        <v>-2644</v>
      </c>
      <c r="N20" s="337">
        <v>-10</v>
      </c>
      <c r="O20" s="340">
        <v>645</v>
      </c>
      <c r="P20" s="337">
        <v>1626</v>
      </c>
      <c r="Q20" s="337">
        <v>63</v>
      </c>
      <c r="R20" s="337">
        <v>-341</v>
      </c>
      <c r="S20" s="337">
        <v>218</v>
      </c>
      <c r="T20" s="337">
        <v>27</v>
      </c>
      <c r="U20" s="337">
        <v>86</v>
      </c>
      <c r="V20" s="337">
        <v>886</v>
      </c>
      <c r="W20" s="337">
        <v>123</v>
      </c>
      <c r="X20" s="468">
        <v>-224</v>
      </c>
      <c r="Y20" s="289"/>
    </row>
    <row r="21" spans="3:25" ht="13.5" customHeight="1">
      <c r="C21" s="391" t="s">
        <v>251</v>
      </c>
      <c r="D21" s="288" t="e">
        <f>SUM(#REF!)</f>
        <v>#REF!</v>
      </c>
      <c r="E21" s="289" t="e">
        <f>SUM(#REF!)</f>
        <v>#REF!</v>
      </c>
      <c r="F21" s="282" t="e">
        <f>+E21+D21</f>
        <v>#REF!</v>
      </c>
      <c r="G21" s="284" t="e">
        <f t="shared" si="1"/>
        <v>#REF!</v>
      </c>
      <c r="H21" s="272"/>
      <c r="I21" s="282">
        <v>0</v>
      </c>
      <c r="J21" s="281"/>
      <c r="K21" s="283" t="e">
        <f>+#REF!</f>
        <v>#REF!</v>
      </c>
      <c r="L21" s="253"/>
      <c r="M21" s="327">
        <v>-957</v>
      </c>
      <c r="N21" s="337">
        <v>-146</v>
      </c>
      <c r="O21" s="340">
        <v>-312</v>
      </c>
      <c r="P21" s="337">
        <v>-3220</v>
      </c>
      <c r="Q21" s="337">
        <v>735</v>
      </c>
      <c r="R21" s="337">
        <v>884</v>
      </c>
      <c r="S21" s="337">
        <v>1121</v>
      </c>
      <c r="T21" s="337">
        <v>524</v>
      </c>
      <c r="U21" s="337">
        <v>983</v>
      </c>
      <c r="V21" s="337">
        <v>571</v>
      </c>
      <c r="W21" s="337">
        <v>1219</v>
      </c>
      <c r="X21" s="467">
        <v>-688</v>
      </c>
      <c r="Y21" s="289"/>
    </row>
    <row r="22" spans="3:25" ht="13.5" customHeight="1">
      <c r="C22" s="391" t="s">
        <v>252</v>
      </c>
      <c r="D22" s="288" t="e">
        <f>SUM(#REF!)</f>
        <v>#REF!</v>
      </c>
      <c r="E22" s="289" t="e">
        <f>SUM(#REF!)</f>
        <v>#REF!</v>
      </c>
      <c r="F22" s="282" t="e">
        <f>+E22+D22</f>
        <v>#REF!</v>
      </c>
      <c r="G22" s="284" t="e">
        <f t="shared" si="1"/>
        <v>#REF!</v>
      </c>
      <c r="H22" s="272"/>
      <c r="I22" s="282">
        <v>0</v>
      </c>
      <c r="J22" s="281"/>
      <c r="K22" s="283" t="str">
        <f>+C21</f>
        <v>        Prepayments and Accrued Income</v>
      </c>
      <c r="L22" s="253"/>
      <c r="M22" s="327">
        <v>-217</v>
      </c>
      <c r="N22" s="337">
        <v>440</v>
      </c>
      <c r="O22" s="340">
        <v>-197</v>
      </c>
      <c r="P22" s="337">
        <v>94</v>
      </c>
      <c r="Q22" s="337">
        <v>-22</v>
      </c>
      <c r="R22" s="337">
        <v>188</v>
      </c>
      <c r="S22" s="337">
        <v>-27</v>
      </c>
      <c r="T22" s="337">
        <v>-106</v>
      </c>
      <c r="U22" s="337">
        <v>100</v>
      </c>
      <c r="V22" s="337">
        <v>-103</v>
      </c>
      <c r="W22" s="337">
        <v>-1</v>
      </c>
      <c r="X22" s="467">
        <v>-14</v>
      </c>
      <c r="Y22" s="289"/>
    </row>
    <row r="23" spans="3:25" ht="13.5" customHeight="1">
      <c r="C23" s="392" t="s">
        <v>253</v>
      </c>
      <c r="D23" s="288"/>
      <c r="E23" s="289"/>
      <c r="F23" s="282"/>
      <c r="G23" s="284"/>
      <c r="H23" s="272"/>
      <c r="I23" s="282"/>
      <c r="J23" s="281"/>
      <c r="K23" s="283" t="str">
        <f>+C22</f>
        <v>        VAT</v>
      </c>
      <c r="L23" s="253"/>
      <c r="M23" s="327">
        <v>1660</v>
      </c>
      <c r="N23" s="337">
        <v>-99</v>
      </c>
      <c r="O23" s="340">
        <v>-44</v>
      </c>
      <c r="P23" s="337">
        <v>-198</v>
      </c>
      <c r="Q23" s="337">
        <v>-210</v>
      </c>
      <c r="R23" s="337">
        <v>-145</v>
      </c>
      <c r="S23" s="337">
        <v>-112</v>
      </c>
      <c r="T23" s="337">
        <v>-125</v>
      </c>
      <c r="U23" s="337">
        <v>-117</v>
      </c>
      <c r="V23" s="337">
        <v>-168</v>
      </c>
      <c r="W23" s="337">
        <v>-116</v>
      </c>
      <c r="X23" s="467">
        <v>-323</v>
      </c>
      <c r="Y23" s="289"/>
    </row>
    <row r="24" spans="3:25" ht="13.5" customHeight="1">
      <c r="C24" s="392" t="s">
        <v>254</v>
      </c>
      <c r="D24" s="288" t="e">
        <f>SUM(#REF!)</f>
        <v>#REF!</v>
      </c>
      <c r="E24" s="289" t="e">
        <f>SUM(#REF!)</f>
        <v>#REF!</v>
      </c>
      <c r="F24" s="282" t="e">
        <f>+E24+D24</f>
        <v>#REF!</v>
      </c>
      <c r="G24" s="284" t="e">
        <f>+F24-I24</f>
        <v>#REF!</v>
      </c>
      <c r="H24" s="272"/>
      <c r="I24" s="282">
        <v>0</v>
      </c>
      <c r="J24" s="281"/>
      <c r="K24" s="283" t="str">
        <f>+C25</f>
        <v>        Non -NHS Trade Payables - Revenue</v>
      </c>
      <c r="L24" s="253"/>
      <c r="M24" s="327">
        <f>-118-139</f>
        <v>-257</v>
      </c>
      <c r="N24" s="337">
        <v>379</v>
      </c>
      <c r="O24" s="340">
        <v>147</v>
      </c>
      <c r="P24" s="337">
        <v>1119</v>
      </c>
      <c r="Q24" s="337">
        <v>505</v>
      </c>
      <c r="R24" s="337">
        <v>-679</v>
      </c>
      <c r="S24" s="337">
        <v>720</v>
      </c>
      <c r="T24" s="337">
        <v>-1429</v>
      </c>
      <c r="U24" s="337">
        <v>-2957</v>
      </c>
      <c r="V24" s="337">
        <v>349</v>
      </c>
      <c r="W24" s="337">
        <v>-265</v>
      </c>
      <c r="X24" s="467">
        <v>-204</v>
      </c>
      <c r="Y24" s="289"/>
    </row>
    <row r="25" spans="3:25" ht="13.5" customHeight="1">
      <c r="C25" s="391" t="s">
        <v>255</v>
      </c>
      <c r="D25" s="288" t="e">
        <f>SUM(#REF!)</f>
        <v>#REF!</v>
      </c>
      <c r="E25" s="289" t="e">
        <f>SUM(#REF!)</f>
        <v>#REF!</v>
      </c>
      <c r="F25" s="282" t="e">
        <f>+E25+D25</f>
        <v>#REF!</v>
      </c>
      <c r="G25" s="284" t="e">
        <f>+F25-I25</f>
        <v>#REF!</v>
      </c>
      <c r="H25" s="272"/>
      <c r="I25" s="282">
        <v>16</v>
      </c>
      <c r="J25" s="281"/>
      <c r="K25" s="283" t="e">
        <f>+#REF!</f>
        <v>#REF!</v>
      </c>
      <c r="L25" s="283"/>
      <c r="M25" s="327">
        <v>3141</v>
      </c>
      <c r="N25" s="337">
        <v>-298</v>
      </c>
      <c r="O25" s="340">
        <v>-1652</v>
      </c>
      <c r="P25" s="337">
        <v>-1236</v>
      </c>
      <c r="Q25" s="337">
        <v>2079</v>
      </c>
      <c r="R25" s="337">
        <v>-100</v>
      </c>
      <c r="S25" s="337">
        <v>-1140</v>
      </c>
      <c r="T25" s="337">
        <v>49</v>
      </c>
      <c r="U25" s="337">
        <v>-2555</v>
      </c>
      <c r="V25" s="337">
        <v>-1220</v>
      </c>
      <c r="W25" s="337">
        <v>1624</v>
      </c>
      <c r="X25" s="468">
        <v>105</v>
      </c>
      <c r="Y25" s="289"/>
    </row>
    <row r="26" spans="3:25" ht="13.5" customHeight="1">
      <c r="C26" s="393" t="s">
        <v>256</v>
      </c>
      <c r="D26" s="288" t="e">
        <f>SUM(#REF!)</f>
        <v>#REF!</v>
      </c>
      <c r="E26" s="289" t="e">
        <f>SUM(#REF!)</f>
        <v>#REF!</v>
      </c>
      <c r="F26" s="282" t="e">
        <f>+E26+D26</f>
        <v>#REF!</v>
      </c>
      <c r="G26" s="284" t="e">
        <f>+F26-I26</f>
        <v>#REF!</v>
      </c>
      <c r="H26" s="272"/>
      <c r="I26" s="282">
        <v>0</v>
      </c>
      <c r="J26" s="281"/>
      <c r="K26" s="283" t="str">
        <f>+C26</f>
        <v>        Accruals and Deferred Income</v>
      </c>
      <c r="L26" s="283"/>
      <c r="M26" s="327">
        <v>-162</v>
      </c>
      <c r="N26" s="337">
        <v>764</v>
      </c>
      <c r="O26" s="340">
        <v>359</v>
      </c>
      <c r="P26" s="337">
        <v>604</v>
      </c>
      <c r="Q26" s="337">
        <v>-1024</v>
      </c>
      <c r="R26" s="337">
        <v>56</v>
      </c>
      <c r="S26" s="337">
        <v>-14</v>
      </c>
      <c r="T26" s="337">
        <v>514</v>
      </c>
      <c r="U26" s="337">
        <v>1421</v>
      </c>
      <c r="V26" s="337">
        <v>-498</v>
      </c>
      <c r="W26" s="337">
        <v>-512</v>
      </c>
      <c r="X26" s="467">
        <v>2840</v>
      </c>
      <c r="Y26" s="289"/>
    </row>
    <row r="27" spans="3:25" ht="13.5" customHeight="1">
      <c r="C27" s="391" t="s">
        <v>257</v>
      </c>
      <c r="D27" s="288" t="e">
        <f>SUM(#REF!)</f>
        <v>#REF!</v>
      </c>
      <c r="E27" s="289" t="e">
        <f>SUM(#REF!)</f>
        <v>#REF!</v>
      </c>
      <c r="F27" s="282" t="e">
        <f>+E27+D27</f>
        <v>#REF!</v>
      </c>
      <c r="G27" s="284" t="e">
        <f>+F27-I27</f>
        <v>#REF!</v>
      </c>
      <c r="H27" s="272"/>
      <c r="I27" s="282">
        <v>0.44999999999999574</v>
      </c>
      <c r="J27" s="281"/>
      <c r="K27" s="283" t="str">
        <f>+C27</f>
        <v>        Tax and Social Security Costs</v>
      </c>
      <c r="L27" s="283"/>
      <c r="M27" s="327">
        <v>176</v>
      </c>
      <c r="N27" s="337">
        <v>268</v>
      </c>
      <c r="O27" s="340">
        <v>-667</v>
      </c>
      <c r="P27" s="337">
        <v>338</v>
      </c>
      <c r="Q27" s="337">
        <v>-108</v>
      </c>
      <c r="R27" s="337">
        <v>93</v>
      </c>
      <c r="S27" s="337">
        <v>-31</v>
      </c>
      <c r="T27" s="337">
        <v>55</v>
      </c>
      <c r="U27" s="337">
        <v>-3</v>
      </c>
      <c r="V27" s="337">
        <v>90</v>
      </c>
      <c r="W27" s="337">
        <v>-59</v>
      </c>
      <c r="X27" s="467">
        <v>-44</v>
      </c>
      <c r="Y27" s="289"/>
    </row>
    <row r="28" spans="3:25" ht="13.5" customHeight="1">
      <c r="C28" s="391" t="s">
        <v>258</v>
      </c>
      <c r="D28" s="288" t="e">
        <f>SUM(#REF!)</f>
        <v>#REF!</v>
      </c>
      <c r="E28" s="281" t="e">
        <f>SUM(#REF!)</f>
        <v>#REF!</v>
      </c>
      <c r="F28" s="282" t="e">
        <f>+E28+D28</f>
        <v>#REF!</v>
      </c>
      <c r="G28" s="284" t="e">
        <f>+F28-I28</f>
        <v>#REF!</v>
      </c>
      <c r="H28" s="272"/>
      <c r="I28" s="282">
        <v>-1.8474111129762605E-13</v>
      </c>
      <c r="J28" s="281"/>
      <c r="K28" s="283" t="str">
        <f>+C28</f>
        <v>        Payments on Account</v>
      </c>
      <c r="L28" s="283"/>
      <c r="M28" s="327">
        <v>1</v>
      </c>
      <c r="N28" s="337">
        <v>6</v>
      </c>
      <c r="O28" s="340">
        <v>-3</v>
      </c>
      <c r="P28" s="337">
        <v>0</v>
      </c>
      <c r="Q28" s="337">
        <v>2</v>
      </c>
      <c r="R28" s="337">
        <v>-5</v>
      </c>
      <c r="S28" s="337">
        <v>20</v>
      </c>
      <c r="T28" s="337">
        <v>-8</v>
      </c>
      <c r="U28" s="337">
        <v>-9</v>
      </c>
      <c r="V28" s="337">
        <v>2</v>
      </c>
      <c r="W28" s="337">
        <v>1</v>
      </c>
      <c r="X28" s="467">
        <v>-2</v>
      </c>
      <c r="Y28" s="281"/>
    </row>
    <row r="29" spans="3:27" ht="13.5" customHeight="1">
      <c r="C29" s="298" t="s">
        <v>219</v>
      </c>
      <c r="D29" s="299"/>
      <c r="E29" s="275"/>
      <c r="F29" s="276"/>
      <c r="G29" s="278"/>
      <c r="H29" s="266"/>
      <c r="I29" s="276"/>
      <c r="J29" s="275"/>
      <c r="K29" s="277"/>
      <c r="L29" s="277"/>
      <c r="M29" s="327">
        <f aca="true" t="shared" si="3" ref="M29:X29">SUM(M18:M28)</f>
        <v>534</v>
      </c>
      <c r="N29" s="376">
        <f t="shared" si="3"/>
        <v>2687</v>
      </c>
      <c r="O29" s="464">
        <f t="shared" si="3"/>
        <v>36</v>
      </c>
      <c r="P29" s="464">
        <f t="shared" si="3"/>
        <v>-1516</v>
      </c>
      <c r="Q29" s="464">
        <f t="shared" si="3"/>
        <v>1979</v>
      </c>
      <c r="R29" s="464">
        <f t="shared" si="3"/>
        <v>742</v>
      </c>
      <c r="S29" s="464">
        <f t="shared" si="3"/>
        <v>-896</v>
      </c>
      <c r="T29" s="464">
        <f t="shared" si="3"/>
        <v>79</v>
      </c>
      <c r="U29" s="464">
        <f t="shared" si="3"/>
        <v>-541</v>
      </c>
      <c r="V29" s="464">
        <f t="shared" si="3"/>
        <v>-947</v>
      </c>
      <c r="W29" s="464">
        <f t="shared" si="3"/>
        <v>-524</v>
      </c>
      <c r="X29" s="468">
        <f t="shared" si="3"/>
        <v>1445</v>
      </c>
      <c r="Y29" s="281">
        <f>SUM(M29:X29)</f>
        <v>3078</v>
      </c>
      <c r="Z29" s="378">
        <v>-2138</v>
      </c>
      <c r="AA29" s="287"/>
    </row>
    <row r="30" spans="3:25" ht="13.5" customHeight="1">
      <c r="C30" s="300"/>
      <c r="D30" s="288"/>
      <c r="E30" s="281"/>
      <c r="F30" s="282"/>
      <c r="G30" s="284">
        <f>+F30-I30</f>
        <v>0</v>
      </c>
      <c r="H30" s="272"/>
      <c r="I30" s="282"/>
      <c r="J30" s="281"/>
      <c r="K30" s="283"/>
      <c r="L30" s="283"/>
      <c r="M30" s="327"/>
      <c r="N30" s="337"/>
      <c r="O30" s="340"/>
      <c r="P30" s="337"/>
      <c r="Q30" s="337"/>
      <c r="R30" s="337"/>
      <c r="S30" s="337"/>
      <c r="T30" s="337"/>
      <c r="U30" s="337"/>
      <c r="V30" s="337"/>
      <c r="W30" s="337"/>
      <c r="X30" s="467"/>
      <c r="Y30" s="281"/>
    </row>
    <row r="31" spans="1:26" s="303" customFormat="1" ht="13.5" customHeight="1">
      <c r="A31" s="243"/>
      <c r="B31" s="243"/>
      <c r="C31" s="286" t="s">
        <v>220</v>
      </c>
      <c r="D31" s="288" t="e">
        <f>SUM(#REF!)</f>
        <v>#REF!</v>
      </c>
      <c r="E31" s="289" t="e">
        <f>SUM(#REF!)</f>
        <v>#REF!</v>
      </c>
      <c r="F31" s="282" t="e">
        <f>+E31+D31</f>
        <v>#REF!</v>
      </c>
      <c r="G31" s="284" t="e">
        <f>+F31-I31</f>
        <v>#REF!</v>
      </c>
      <c r="H31" s="272"/>
      <c r="I31" s="282">
        <v>-11809.55</v>
      </c>
      <c r="J31" s="289"/>
      <c r="K31" s="301" t="str">
        <f>+C31</f>
        <v>Capex spend</v>
      </c>
      <c r="L31" s="301"/>
      <c r="M31" s="330">
        <v>-27</v>
      </c>
      <c r="N31" s="340">
        <v>-151</v>
      </c>
      <c r="O31" s="340">
        <v>-442</v>
      </c>
      <c r="P31" s="340">
        <v>-182</v>
      </c>
      <c r="Q31" s="340">
        <v>-1231</v>
      </c>
      <c r="R31" s="340">
        <v>-165</v>
      </c>
      <c r="S31" s="340">
        <v>-1370</v>
      </c>
      <c r="T31" s="340">
        <v>-792</v>
      </c>
      <c r="U31" s="340">
        <v>-720</v>
      </c>
      <c r="V31" s="340">
        <v>-881</v>
      </c>
      <c r="W31" s="340">
        <v>-541</v>
      </c>
      <c r="X31" s="467">
        <v>-2003</v>
      </c>
      <c r="Y31" s="281">
        <f>SUM(M31:X31)</f>
        <v>-8505</v>
      </c>
      <c r="Z31" s="381">
        <v>-13105</v>
      </c>
    </row>
    <row r="32" spans="1:26" s="303" customFormat="1" ht="13.5" customHeight="1">
      <c r="A32" s="243"/>
      <c r="B32" s="243"/>
      <c r="C32" s="286" t="s">
        <v>259</v>
      </c>
      <c r="D32" s="288"/>
      <c r="E32" s="289"/>
      <c r="F32" s="282"/>
      <c r="G32" s="284"/>
      <c r="H32" s="272"/>
      <c r="I32" s="282"/>
      <c r="J32" s="289"/>
      <c r="K32" s="301"/>
      <c r="L32" s="301"/>
      <c r="M32" s="330">
        <v>-1820</v>
      </c>
      <c r="N32" s="340">
        <v>-2619</v>
      </c>
      <c r="O32" s="340">
        <v>-590</v>
      </c>
      <c r="P32" s="340">
        <v>-74</v>
      </c>
      <c r="Q32" s="340">
        <v>491</v>
      </c>
      <c r="R32" s="340">
        <v>-544</v>
      </c>
      <c r="S32" s="340">
        <v>677</v>
      </c>
      <c r="T32" s="340">
        <v>-334</v>
      </c>
      <c r="U32" s="340">
        <v>33</v>
      </c>
      <c r="V32" s="340">
        <v>58</v>
      </c>
      <c r="W32" s="340">
        <v>0</v>
      </c>
      <c r="X32" s="467">
        <v>1145</v>
      </c>
      <c r="Y32" s="281">
        <f>SUM(M32:X32)</f>
        <v>-3577</v>
      </c>
      <c r="Z32" s="381">
        <v>0</v>
      </c>
    </row>
    <row r="33" spans="1:26" s="303" customFormat="1" ht="13.5" customHeight="1">
      <c r="A33" s="243"/>
      <c r="B33" s="243"/>
      <c r="C33" s="286" t="s">
        <v>358</v>
      </c>
      <c r="D33" s="288"/>
      <c r="E33" s="289"/>
      <c r="F33" s="282"/>
      <c r="G33" s="284"/>
      <c r="H33" s="272"/>
      <c r="I33" s="282"/>
      <c r="J33" s="289"/>
      <c r="K33" s="301"/>
      <c r="L33" s="301"/>
      <c r="M33" s="330"/>
      <c r="N33" s="340"/>
      <c r="O33" s="340"/>
      <c r="P33" s="340"/>
      <c r="Q33" s="340"/>
      <c r="R33" s="340">
        <v>131</v>
      </c>
      <c r="S33" s="340"/>
      <c r="T33" s="340"/>
      <c r="U33" s="340">
        <v>-131</v>
      </c>
      <c r="V33" s="340">
        <v>-35</v>
      </c>
      <c r="W33" s="340"/>
      <c r="X33" s="467">
        <v>35</v>
      </c>
      <c r="Y33" s="281"/>
      <c r="Z33" s="381"/>
    </row>
    <row r="34" spans="3:25" ht="13.5" customHeight="1">
      <c r="C34" s="304" t="s">
        <v>221</v>
      </c>
      <c r="D34" s="288" t="e">
        <f>SUM(#REF!)</f>
        <v>#REF!</v>
      </c>
      <c r="E34" s="281" t="e">
        <f>SUM(#REF!)</f>
        <v>#REF!</v>
      </c>
      <c r="F34" s="282" t="e">
        <f>+E34+D34</f>
        <v>#REF!</v>
      </c>
      <c r="G34" s="284" t="e">
        <f>+F34-I34</f>
        <v>#REF!</v>
      </c>
      <c r="H34" s="272"/>
      <c r="I34" s="282">
        <v>972</v>
      </c>
      <c r="J34" s="281"/>
      <c r="K34" s="283" t="str">
        <f>+C34</f>
        <v>Cash receipt from asset sales</v>
      </c>
      <c r="L34" s="283"/>
      <c r="M34" s="330"/>
      <c r="N34" s="337"/>
      <c r="O34" s="340"/>
      <c r="P34" s="337"/>
      <c r="Q34" s="337"/>
      <c r="R34" s="337"/>
      <c r="S34" s="337"/>
      <c r="T34" s="337"/>
      <c r="U34" s="337"/>
      <c r="V34" s="337"/>
      <c r="W34" s="337"/>
      <c r="X34" s="467"/>
      <c r="Y34" s="281">
        <f aca="true" t="shared" si="4" ref="Y34:Y48">SUM(M34:X34)</f>
        <v>0</v>
      </c>
    </row>
    <row r="35" spans="3:25" ht="13.5" customHeight="1">
      <c r="C35" s="304"/>
      <c r="D35" s="288"/>
      <c r="E35" s="281"/>
      <c r="F35" s="282"/>
      <c r="G35" s="284">
        <f>+F35-I35</f>
        <v>0</v>
      </c>
      <c r="H35" s="272"/>
      <c r="I35" s="282"/>
      <c r="J35" s="281"/>
      <c r="K35" s="283"/>
      <c r="L35" s="283"/>
      <c r="M35" s="330"/>
      <c r="N35" s="337"/>
      <c r="O35" s="340"/>
      <c r="P35" s="337"/>
      <c r="Q35" s="337"/>
      <c r="R35" s="337"/>
      <c r="S35" s="337"/>
      <c r="T35" s="337"/>
      <c r="U35" s="337"/>
      <c r="V35" s="337"/>
      <c r="W35" s="337"/>
      <c r="X35" s="467"/>
      <c r="Y35" s="281">
        <f t="shared" si="4"/>
        <v>0</v>
      </c>
    </row>
    <row r="36" spans="3:26" ht="14.25" customHeight="1">
      <c r="C36" s="286" t="s">
        <v>231</v>
      </c>
      <c r="D36" s="288" t="e">
        <f>SUM(#REF!)</f>
        <v>#REF!</v>
      </c>
      <c r="E36" s="281" t="e">
        <f>SUM(#REF!)</f>
        <v>#REF!</v>
      </c>
      <c r="F36" s="282" t="e">
        <f>+E36+D36</f>
        <v>#REF!</v>
      </c>
      <c r="G36" s="284" t="e">
        <f>+F36-I36</f>
        <v>#REF!</v>
      </c>
      <c r="H36" s="272"/>
      <c r="I36" s="282">
        <v>-72</v>
      </c>
      <c r="J36" s="281"/>
      <c r="K36" s="283" t="str">
        <f>+C36</f>
        <v>Movement in Provisions</v>
      </c>
      <c r="L36" s="283"/>
      <c r="M36" s="330">
        <v>-8</v>
      </c>
      <c r="N36" s="337">
        <v>-42</v>
      </c>
      <c r="O36" s="340">
        <v>3</v>
      </c>
      <c r="P36" s="337">
        <v>-10</v>
      </c>
      <c r="Q36" s="337">
        <v>-29</v>
      </c>
      <c r="R36" s="337">
        <v>5</v>
      </c>
      <c r="S36" s="337">
        <v>-5</v>
      </c>
      <c r="T36" s="337">
        <v>-15</v>
      </c>
      <c r="U36" s="337">
        <v>-19</v>
      </c>
      <c r="V36" s="337">
        <v>1</v>
      </c>
      <c r="W36" s="337">
        <v>-6</v>
      </c>
      <c r="X36" s="468">
        <f>733-20</f>
        <v>713</v>
      </c>
      <c r="Y36" s="281">
        <f t="shared" si="4"/>
        <v>588</v>
      </c>
      <c r="Z36" s="378">
        <v>-41</v>
      </c>
    </row>
    <row r="37" spans="3:25" ht="14.25" customHeight="1">
      <c r="C37" s="286"/>
      <c r="D37" s="288"/>
      <c r="E37" s="281"/>
      <c r="F37" s="282"/>
      <c r="G37" s="284"/>
      <c r="H37" s="272"/>
      <c r="I37" s="282"/>
      <c r="J37" s="281"/>
      <c r="K37" s="283"/>
      <c r="L37" s="283"/>
      <c r="M37" s="331"/>
      <c r="N37" s="337"/>
      <c r="O37" s="340"/>
      <c r="P37" s="337"/>
      <c r="Q37" s="337"/>
      <c r="R37" s="337"/>
      <c r="S37" s="337"/>
      <c r="T37" s="337"/>
      <c r="U37" s="337"/>
      <c r="V37" s="337"/>
      <c r="W37" s="337"/>
      <c r="X37" s="468"/>
      <c r="Y37" s="281">
        <f t="shared" si="4"/>
        <v>0</v>
      </c>
    </row>
    <row r="38" spans="3:26" ht="13.5" customHeight="1">
      <c r="C38" s="286" t="s">
        <v>222</v>
      </c>
      <c r="D38" s="288" t="e">
        <f>SUM(#REF!)</f>
        <v>#REF!</v>
      </c>
      <c r="E38" s="281" t="e">
        <f>SUM(#REF!)</f>
        <v>#REF!</v>
      </c>
      <c r="F38" s="282" t="e">
        <f>+E38+D38</f>
        <v>#REF!</v>
      </c>
      <c r="G38" s="284" t="e">
        <f>+F38-I38</f>
        <v>#REF!</v>
      </c>
      <c r="H38" s="272"/>
      <c r="I38" s="282">
        <v>-386</v>
      </c>
      <c r="J38" s="281"/>
      <c r="K38" s="283" t="str">
        <f>+C38</f>
        <v>Interest (paid) on loans and leases</v>
      </c>
      <c r="L38" s="283"/>
      <c r="M38" s="327"/>
      <c r="N38" s="337"/>
      <c r="O38" s="340"/>
      <c r="P38" s="337"/>
      <c r="Q38" s="337"/>
      <c r="R38" s="337"/>
      <c r="S38" s="337"/>
      <c r="T38" s="337"/>
      <c r="U38" s="337"/>
      <c r="V38" s="337"/>
      <c r="W38" s="337"/>
      <c r="X38" s="467"/>
      <c r="Y38" s="281">
        <f t="shared" si="4"/>
        <v>0</v>
      </c>
      <c r="Z38" s="378">
        <v>-69</v>
      </c>
    </row>
    <row r="39" spans="2:26" s="303" customFormat="1" ht="13.5" customHeight="1">
      <c r="B39" s="305"/>
      <c r="C39" s="279" t="s">
        <v>229</v>
      </c>
      <c r="D39" s="312" t="e">
        <f>SUM(#REF!)</f>
        <v>#REF!</v>
      </c>
      <c r="E39" s="281" t="e">
        <f>SUM(#REF!)</f>
        <v>#REF!</v>
      </c>
      <c r="F39" s="296" t="e">
        <f>+E39+D39</f>
        <v>#REF!</v>
      </c>
      <c r="G39" s="284" t="e">
        <f>+F39-I39</f>
        <v>#REF!</v>
      </c>
      <c r="H39" s="272"/>
      <c r="I39" s="296">
        <v>400</v>
      </c>
      <c r="J39" s="281"/>
      <c r="K39" s="283" t="str">
        <f>+C39</f>
        <v>Interest received </v>
      </c>
      <c r="L39" s="283"/>
      <c r="M39" s="333">
        <v>1</v>
      </c>
      <c r="N39" s="337">
        <v>1</v>
      </c>
      <c r="O39" s="340">
        <v>1</v>
      </c>
      <c r="P39" s="337">
        <v>1</v>
      </c>
      <c r="Q39" s="337">
        <v>2</v>
      </c>
      <c r="R39" s="337">
        <v>2</v>
      </c>
      <c r="S39" s="337">
        <v>1</v>
      </c>
      <c r="T39" s="337">
        <v>2</v>
      </c>
      <c r="U39" s="337">
        <v>1</v>
      </c>
      <c r="V39" s="337">
        <v>1</v>
      </c>
      <c r="W39" s="337">
        <v>5</v>
      </c>
      <c r="X39" s="470">
        <v>3</v>
      </c>
      <c r="Y39" s="281">
        <f t="shared" si="4"/>
        <v>21</v>
      </c>
      <c r="Z39" s="381">
        <v>12</v>
      </c>
    </row>
    <row r="40" spans="2:26" s="303" customFormat="1" ht="13.5" customHeight="1">
      <c r="B40" s="305"/>
      <c r="C40" s="279"/>
      <c r="D40" s="312"/>
      <c r="E40" s="281"/>
      <c r="F40" s="296"/>
      <c r="G40" s="284"/>
      <c r="H40" s="272"/>
      <c r="I40" s="296"/>
      <c r="J40" s="281"/>
      <c r="K40" s="283"/>
      <c r="L40" s="283"/>
      <c r="M40" s="333"/>
      <c r="N40" s="337"/>
      <c r="O40" s="340"/>
      <c r="P40" s="337"/>
      <c r="Q40" s="337"/>
      <c r="R40" s="337"/>
      <c r="S40" s="337"/>
      <c r="T40" s="337"/>
      <c r="U40" s="337"/>
      <c r="V40" s="337"/>
      <c r="W40" s="337"/>
      <c r="X40" s="467"/>
      <c r="Y40" s="281">
        <f t="shared" si="4"/>
        <v>0</v>
      </c>
      <c r="Z40" s="381"/>
    </row>
    <row r="41" spans="2:26" s="303" customFormat="1" ht="13.5" customHeight="1">
      <c r="B41" s="305"/>
      <c r="C41" s="286" t="s">
        <v>223</v>
      </c>
      <c r="D41" s="288"/>
      <c r="E41" s="289"/>
      <c r="F41" s="282"/>
      <c r="G41" s="302"/>
      <c r="H41" s="306"/>
      <c r="I41" s="282"/>
      <c r="J41" s="289"/>
      <c r="K41" s="301"/>
      <c r="L41" s="301"/>
      <c r="M41" s="330"/>
      <c r="N41" s="340"/>
      <c r="O41" s="340"/>
      <c r="P41" s="340"/>
      <c r="Q41" s="340"/>
      <c r="R41" s="340"/>
      <c r="S41" s="340"/>
      <c r="T41" s="340"/>
      <c r="U41" s="340"/>
      <c r="V41" s="340"/>
      <c r="W41" s="340"/>
      <c r="X41" s="467"/>
      <c r="Y41" s="281">
        <f t="shared" si="4"/>
        <v>0</v>
      </c>
      <c r="Z41" s="381">
        <v>5400</v>
      </c>
    </row>
    <row r="42" spans="2:26" ht="13.5" customHeight="1">
      <c r="B42" s="307"/>
      <c r="C42" s="304" t="s">
        <v>276</v>
      </c>
      <c r="D42" s="288" t="e">
        <f>SUM(#REF!)</f>
        <v>#REF!</v>
      </c>
      <c r="E42" s="281" t="e">
        <f>SUM(#REF!)</f>
        <v>#REF!</v>
      </c>
      <c r="F42" s="282" t="e">
        <f>+E42+D42</f>
        <v>#REF!</v>
      </c>
      <c r="G42" s="284" t="e">
        <f>+F42-I42</f>
        <v>#REF!</v>
      </c>
      <c r="H42" s="272"/>
      <c r="I42" s="282">
        <v>-4100</v>
      </c>
      <c r="J42" s="281"/>
      <c r="K42" s="283" t="str">
        <f>+C42</f>
        <v>Repayment of loans</v>
      </c>
      <c r="L42" s="283"/>
      <c r="M42" s="327"/>
      <c r="N42" s="337"/>
      <c r="O42" s="340"/>
      <c r="P42" s="337"/>
      <c r="Q42" s="337"/>
      <c r="R42" s="337"/>
      <c r="S42" s="337"/>
      <c r="T42" s="337"/>
      <c r="U42" s="337"/>
      <c r="V42" s="337"/>
      <c r="W42" s="337"/>
      <c r="X42" s="467"/>
      <c r="Y42" s="281">
        <f t="shared" si="4"/>
        <v>0</v>
      </c>
      <c r="Z42" s="378">
        <v>-780</v>
      </c>
    </row>
    <row r="43" spans="2:26" ht="13.5" customHeight="1">
      <c r="B43" s="307"/>
      <c r="C43" s="304" t="s">
        <v>277</v>
      </c>
      <c r="D43" s="288"/>
      <c r="E43" s="281"/>
      <c r="F43" s="282"/>
      <c r="G43" s="284"/>
      <c r="H43" s="272"/>
      <c r="I43" s="282"/>
      <c r="J43" s="281"/>
      <c r="K43" s="283"/>
      <c r="L43" s="283"/>
      <c r="M43" s="327"/>
      <c r="N43" s="337"/>
      <c r="O43" s="340"/>
      <c r="P43" s="337"/>
      <c r="Q43" s="337"/>
      <c r="R43" s="337"/>
      <c r="S43" s="337"/>
      <c r="T43" s="337"/>
      <c r="U43" s="337"/>
      <c r="V43" s="337"/>
      <c r="W43" s="337"/>
      <c r="X43" s="467">
        <v>-5</v>
      </c>
      <c r="Y43" s="281">
        <f t="shared" si="4"/>
        <v>-5</v>
      </c>
      <c r="Z43" s="378">
        <v>-5</v>
      </c>
    </row>
    <row r="44" spans="2:26" s="303" customFormat="1" ht="13.5" customHeight="1">
      <c r="B44" s="305"/>
      <c r="C44" s="308"/>
      <c r="D44" s="288"/>
      <c r="E44" s="289"/>
      <c r="F44" s="282"/>
      <c r="G44" s="302">
        <f>+F44-I44</f>
        <v>0</v>
      </c>
      <c r="H44" s="306"/>
      <c r="I44" s="282"/>
      <c r="J44" s="289"/>
      <c r="K44" s="301"/>
      <c r="L44" s="283"/>
      <c r="M44" s="330"/>
      <c r="N44" s="340"/>
      <c r="O44" s="340"/>
      <c r="P44" s="340"/>
      <c r="Q44" s="340"/>
      <c r="R44" s="340"/>
      <c r="S44" s="340"/>
      <c r="T44" s="340"/>
      <c r="U44" s="340"/>
      <c r="V44" s="340"/>
      <c r="W44" s="340"/>
      <c r="X44" s="467"/>
      <c r="Y44" s="281">
        <f t="shared" si="4"/>
        <v>0</v>
      </c>
      <c r="Z44" s="381"/>
    </row>
    <row r="45" spans="2:25" ht="13.5" customHeight="1">
      <c r="B45" s="307"/>
      <c r="C45" s="286" t="s">
        <v>224</v>
      </c>
      <c r="D45" s="288" t="e">
        <f>SUM(#REF!)</f>
        <v>#REF!</v>
      </c>
      <c r="E45" s="281" t="e">
        <f>SUM(#REF!)</f>
        <v>#REF!</v>
      </c>
      <c r="F45" s="282" t="e">
        <f>+E45+D45</f>
        <v>#REF!</v>
      </c>
      <c r="G45" s="284" t="e">
        <f>+F45-I45</f>
        <v>#REF!</v>
      </c>
      <c r="H45" s="272"/>
      <c r="I45" s="282">
        <v>1442</v>
      </c>
      <c r="J45" s="281"/>
      <c r="K45" s="283" t="str">
        <f>+C45</f>
        <v>Public Dividend Capital received</v>
      </c>
      <c r="L45" s="283"/>
      <c r="M45" s="327"/>
      <c r="N45" s="337"/>
      <c r="O45" s="340"/>
      <c r="P45" s="337"/>
      <c r="Q45" s="337"/>
      <c r="R45" s="337"/>
      <c r="S45" s="337"/>
      <c r="T45" s="337"/>
      <c r="U45" s="337">
        <v>500</v>
      </c>
      <c r="V45" s="337"/>
      <c r="W45" s="337"/>
      <c r="X45" s="467"/>
      <c r="Y45" s="281">
        <f t="shared" si="4"/>
        <v>500</v>
      </c>
    </row>
    <row r="46" spans="2:25" ht="13.5" customHeight="1">
      <c r="B46" s="307"/>
      <c r="C46" s="286" t="s">
        <v>225</v>
      </c>
      <c r="D46" s="288" t="e">
        <f>SUM(#REF!)</f>
        <v>#REF!</v>
      </c>
      <c r="E46" s="281" t="e">
        <f>SUM(#REF!)</f>
        <v>#REF!</v>
      </c>
      <c r="F46" s="282" t="e">
        <f>+E46+D46</f>
        <v>#REF!</v>
      </c>
      <c r="G46" s="284" t="e">
        <f>+F46-I46</f>
        <v>#REF!</v>
      </c>
      <c r="H46" s="272"/>
      <c r="I46" s="282">
        <v>-816</v>
      </c>
      <c r="J46" s="281"/>
      <c r="K46" s="283" t="str">
        <f>+C46</f>
        <v>Public Dividend Capital repaid</v>
      </c>
      <c r="L46" s="283"/>
      <c r="M46" s="327"/>
      <c r="N46" s="337"/>
      <c r="O46" s="340"/>
      <c r="P46" s="337"/>
      <c r="Q46" s="337"/>
      <c r="R46" s="337"/>
      <c r="S46" s="337"/>
      <c r="T46" s="337"/>
      <c r="U46" s="337"/>
      <c r="V46" s="337"/>
      <c r="W46" s="337"/>
      <c r="X46" s="285"/>
      <c r="Y46" s="281">
        <f t="shared" si="4"/>
        <v>0</v>
      </c>
    </row>
    <row r="47" spans="2:25" ht="13.5" customHeight="1">
      <c r="B47" s="307"/>
      <c r="C47" s="286"/>
      <c r="D47" s="288"/>
      <c r="E47" s="281"/>
      <c r="F47" s="282"/>
      <c r="G47" s="284"/>
      <c r="H47" s="272"/>
      <c r="I47" s="282"/>
      <c r="J47" s="281"/>
      <c r="K47" s="283"/>
      <c r="L47" s="283"/>
      <c r="M47" s="327"/>
      <c r="N47" s="337"/>
      <c r="O47" s="337"/>
      <c r="P47" s="337"/>
      <c r="Q47" s="337"/>
      <c r="R47" s="337"/>
      <c r="S47" s="337"/>
      <c r="T47" s="337"/>
      <c r="U47" s="337"/>
      <c r="V47" s="337"/>
      <c r="W47" s="337"/>
      <c r="X47" s="285"/>
      <c r="Y47" s="281">
        <f t="shared" si="4"/>
        <v>0</v>
      </c>
    </row>
    <row r="48" spans="2:26" ht="13.5" customHeight="1">
      <c r="B48" s="307"/>
      <c r="C48" s="286" t="s">
        <v>226</v>
      </c>
      <c r="D48" s="288" t="e">
        <f>SUM(#REF!)</f>
        <v>#REF!</v>
      </c>
      <c r="E48" s="281" t="e">
        <f>SUM(#REF!)</f>
        <v>#REF!</v>
      </c>
      <c r="F48" s="282" t="e">
        <f>+E48+D48</f>
        <v>#REF!</v>
      </c>
      <c r="G48" s="284" t="e">
        <f aca="true" t="shared" si="5" ref="G48:G53">+F48-I48</f>
        <v>#REF!</v>
      </c>
      <c r="H48" s="272"/>
      <c r="I48" s="282">
        <v>-5644</v>
      </c>
      <c r="J48" s="281"/>
      <c r="K48" s="283" t="str">
        <f>+C48</f>
        <v>Dividends paid</v>
      </c>
      <c r="L48" s="283"/>
      <c r="M48" s="327"/>
      <c r="N48" s="337"/>
      <c r="O48" s="337"/>
      <c r="P48" s="337"/>
      <c r="Q48" s="337"/>
      <c r="R48" s="337">
        <v>-2528</v>
      </c>
      <c r="S48" s="337"/>
      <c r="T48" s="337"/>
      <c r="U48" s="337"/>
      <c r="V48" s="337"/>
      <c r="W48" s="337"/>
      <c r="X48" s="285">
        <v>-2495</v>
      </c>
      <c r="Y48" s="281">
        <f t="shared" si="4"/>
        <v>-5023</v>
      </c>
      <c r="Z48" s="378">
        <v>-5040</v>
      </c>
    </row>
    <row r="49" spans="2:25" ht="13.5" customHeight="1" thickBot="1">
      <c r="B49" s="307"/>
      <c r="C49" s="279"/>
      <c r="D49" s="280"/>
      <c r="E49" s="281"/>
      <c r="F49" s="296"/>
      <c r="G49" s="284">
        <f t="shared" si="5"/>
        <v>0</v>
      </c>
      <c r="H49" s="272"/>
      <c r="I49" s="296"/>
      <c r="J49" s="281"/>
      <c r="K49" s="283"/>
      <c r="L49" s="283"/>
      <c r="M49" s="332"/>
      <c r="N49" s="341"/>
      <c r="O49" s="341"/>
      <c r="P49" s="341"/>
      <c r="Q49" s="341"/>
      <c r="R49" s="341"/>
      <c r="S49" s="341"/>
      <c r="T49" s="341"/>
      <c r="U49" s="341"/>
      <c r="V49" s="341"/>
      <c r="W49" s="339"/>
      <c r="X49" s="309"/>
      <c r="Y49" s="281"/>
    </row>
    <row r="50" spans="3:26" s="254" customFormat="1" ht="13.5" customHeight="1" thickBot="1">
      <c r="C50" s="310" t="s">
        <v>239</v>
      </c>
      <c r="D50" s="291" t="e">
        <f>SUM(D18:D49)</f>
        <v>#REF!</v>
      </c>
      <c r="E50" s="292" t="e">
        <f>SUM(E18:E49)</f>
        <v>#REF!</v>
      </c>
      <c r="F50" s="293" t="e">
        <f>SUM(F18:F49)</f>
        <v>#REF!</v>
      </c>
      <c r="G50" s="278" t="e">
        <f t="shared" si="5"/>
        <v>#REF!</v>
      </c>
      <c r="H50" s="266"/>
      <c r="I50" s="293">
        <f>SUM(I15:I48)</f>
        <v>-0.09999999999854481</v>
      </c>
      <c r="J50" s="275"/>
      <c r="K50" s="311" t="s">
        <v>227</v>
      </c>
      <c r="L50" s="283"/>
      <c r="M50" s="291">
        <f aca="true" t="shared" si="6" ref="M50:Z50">SUM(M31:M49)+M15+M29</f>
        <v>-402</v>
      </c>
      <c r="N50" s="291">
        <f t="shared" si="6"/>
        <v>304</v>
      </c>
      <c r="O50" s="374">
        <f t="shared" si="6"/>
        <v>-301</v>
      </c>
      <c r="P50" s="342">
        <f t="shared" si="6"/>
        <v>3</v>
      </c>
      <c r="Q50" s="342">
        <f t="shared" si="6"/>
        <v>1893</v>
      </c>
      <c r="R50" s="342">
        <f t="shared" si="6"/>
        <v>-1622</v>
      </c>
      <c r="S50" s="342">
        <f t="shared" si="6"/>
        <v>-261</v>
      </c>
      <c r="T50" s="342">
        <f t="shared" si="6"/>
        <v>0</v>
      </c>
      <c r="U50" s="342">
        <f t="shared" si="6"/>
        <v>410</v>
      </c>
      <c r="V50" s="342">
        <f t="shared" si="6"/>
        <v>-427</v>
      </c>
      <c r="W50" s="342">
        <f t="shared" si="6"/>
        <v>28</v>
      </c>
      <c r="X50" s="314">
        <f t="shared" si="6"/>
        <v>167</v>
      </c>
      <c r="Y50" s="314">
        <f t="shared" si="6"/>
        <v>-208</v>
      </c>
      <c r="Z50" s="375">
        <f t="shared" si="6"/>
        <v>-241</v>
      </c>
    </row>
    <row r="51" spans="3:25" ht="13.5" customHeight="1" thickBot="1">
      <c r="C51" s="350"/>
      <c r="D51" s="281"/>
      <c r="E51" s="281"/>
      <c r="F51" s="296"/>
      <c r="G51" s="284">
        <f t="shared" si="5"/>
        <v>0</v>
      </c>
      <c r="H51" s="272"/>
      <c r="I51" s="296"/>
      <c r="J51" s="281"/>
      <c r="K51" s="315"/>
      <c r="L51" s="315"/>
      <c r="M51" s="333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285"/>
      <c r="Y51" s="281"/>
    </row>
    <row r="52" spans="3:26" s="254" customFormat="1" ht="13.5" customHeight="1" thickBot="1">
      <c r="C52" s="313" t="s">
        <v>228</v>
      </c>
      <c r="D52" s="316" t="e">
        <f>+#REF!+#REF!+#REF!</f>
        <v>#REF!</v>
      </c>
      <c r="E52" s="317" t="e">
        <f>+#REF!+#REF!+#REF!</f>
        <v>#REF!</v>
      </c>
      <c r="F52" s="318" t="e">
        <f>+#REF!+#REF!+#REF!</f>
        <v>#REF!</v>
      </c>
      <c r="G52" s="351" t="e">
        <f t="shared" si="5"/>
        <v>#REF!</v>
      </c>
      <c r="H52" s="319"/>
      <c r="I52" s="320" t="e">
        <f>I10+#REF!</f>
        <v>#REF!</v>
      </c>
      <c r="J52" s="352"/>
      <c r="K52" s="353" t="str">
        <f>+C52</f>
        <v>Closing Balance</v>
      </c>
      <c r="L52" s="353"/>
      <c r="M52" s="334">
        <f aca="true" t="shared" si="7" ref="M52:Z52">M10+M50</f>
        <v>39</v>
      </c>
      <c r="N52" s="334">
        <f t="shared" si="7"/>
        <v>343</v>
      </c>
      <c r="O52" s="334">
        <f t="shared" si="7"/>
        <v>42</v>
      </c>
      <c r="P52" s="334">
        <f t="shared" si="7"/>
        <v>45</v>
      </c>
      <c r="Q52" s="334">
        <f t="shared" si="7"/>
        <v>1938</v>
      </c>
      <c r="R52" s="334">
        <f t="shared" si="7"/>
        <v>316</v>
      </c>
      <c r="S52" s="334">
        <f t="shared" si="7"/>
        <v>55</v>
      </c>
      <c r="T52" s="334">
        <f t="shared" si="7"/>
        <v>55</v>
      </c>
      <c r="U52" s="334">
        <f t="shared" si="7"/>
        <v>465</v>
      </c>
      <c r="V52" s="334">
        <f t="shared" si="7"/>
        <v>38</v>
      </c>
      <c r="W52" s="334">
        <f t="shared" si="7"/>
        <v>66</v>
      </c>
      <c r="X52" s="316">
        <f t="shared" si="7"/>
        <v>233</v>
      </c>
      <c r="Y52" s="397">
        <f t="shared" si="7"/>
        <v>-208</v>
      </c>
      <c r="Z52" s="382">
        <f t="shared" si="7"/>
        <v>200</v>
      </c>
    </row>
    <row r="53" spans="3:25" ht="13.5" customHeight="1">
      <c r="C53" s="307"/>
      <c r="D53" s="281"/>
      <c r="E53" s="281"/>
      <c r="F53" s="296"/>
      <c r="G53" s="287">
        <f t="shared" si="5"/>
        <v>0</v>
      </c>
      <c r="H53" s="272"/>
      <c r="I53" s="296"/>
      <c r="J53" s="281"/>
      <c r="K53" s="315"/>
      <c r="L53" s="315"/>
      <c r="M53" s="281"/>
      <c r="N53" s="281"/>
      <c r="O53" s="281"/>
      <c r="P53" s="281"/>
      <c r="Q53" s="281"/>
      <c r="R53" s="281"/>
      <c r="S53" s="281"/>
      <c r="T53" s="281"/>
      <c r="U53" s="281"/>
      <c r="V53" s="281"/>
      <c r="W53" s="281"/>
      <c r="X53" s="281"/>
      <c r="Y53" s="281"/>
    </row>
    <row r="54" spans="3:25" ht="12.75">
      <c r="C54" s="307"/>
      <c r="D54" s="281"/>
      <c r="E54" s="281"/>
      <c r="F54" s="296"/>
      <c r="G54" s="287"/>
      <c r="H54" s="272"/>
      <c r="I54" s="296"/>
      <c r="J54" s="281"/>
      <c r="K54" s="315"/>
      <c r="L54" s="315"/>
      <c r="M54" s="281"/>
      <c r="N54" s="281"/>
      <c r="O54" s="281"/>
      <c r="P54" s="281"/>
      <c r="R54" s="281"/>
      <c r="S54" s="281"/>
      <c r="T54" s="281"/>
      <c r="U54" s="281"/>
      <c r="V54" s="281"/>
      <c r="W54" s="281"/>
      <c r="X54" s="281"/>
      <c r="Y54" s="281"/>
    </row>
    <row r="56" spans="18:24" ht="12.75">
      <c r="R56" s="287"/>
      <c r="S56" s="287"/>
      <c r="T56" s="287"/>
      <c r="U56" s="287"/>
      <c r="V56" s="287"/>
      <c r="W56" s="287"/>
      <c r="X56" s="287"/>
    </row>
  </sheetData>
  <printOptions horizontalCentered="1"/>
  <pageMargins left="0.2" right="0.23" top="0.36" bottom="0.36" header="0.18" footer="0.2"/>
  <pageSetup horizontalDpi="600" verticalDpi="600" orientation="landscape" paperSize="9" scale="7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RSH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GROUP</dc:creator>
  <cp:keywords/>
  <dc:description/>
  <cp:lastModifiedBy>GRAB</cp:lastModifiedBy>
  <cp:lastPrinted>2011-04-20T13:11:45Z</cp:lastPrinted>
  <dcterms:created xsi:type="dcterms:W3CDTF">2004-06-08T09:20:14Z</dcterms:created>
  <dcterms:modified xsi:type="dcterms:W3CDTF">2011-04-20T13:14:39Z</dcterms:modified>
  <cp:category/>
  <cp:version/>
  <cp:contentType/>
  <cp:contentStatus/>
</cp:coreProperties>
</file>